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PA_WaRR_RMS\WASTE AVOIDANCE AND RECOVERY\ASSESSMENTS\LGWARR Data Return 2020-21\Report\"/>
    </mc:Choice>
  </mc:AlternateContent>
  <xr:revisionPtr revIDLastSave="0" documentId="13_ncr:1_{036AEE67-FE98-41DF-BA7A-C9DB9E25CC82}" xr6:coauthVersionLast="46" xr6:coauthVersionMax="46" xr10:uidLastSave="{00000000-0000-0000-0000-000000000000}"/>
  <bookViews>
    <workbookView xWindow="-120" yWindow="-120" windowWidth="29040" windowHeight="15840" tabRatio="820" xr2:uid="{00000000-000D-0000-FFFF-FFFF00000000}"/>
  </bookViews>
  <sheets>
    <sheet name="App 1 - Services" sheetId="1" r:id="rId1"/>
    <sheet name="App 2 - Totals" sheetId="17" r:id="rId2"/>
    <sheet name="App 3 - Recycling Rate" sheetId="18" r:id="rId3"/>
    <sheet name="App 4 - Recyclables" sheetId="19" r:id="rId4"/>
    <sheet name="App 5 - Organics" sheetId="20" r:id="rId5"/>
    <sheet name="App 6 - Residual Waste" sheetId="21" r:id="rId6"/>
    <sheet name="App 7 - HH &amp; Capita" sheetId="22" r:id="rId7"/>
    <sheet name="App 8 - Bin Size" sheetId="23" r:id="rId8"/>
    <sheet name="App 8a - Materials Accepted" sheetId="24" r:id="rId9"/>
    <sheet name="App 9 - AWT" sheetId="25" r:id="rId10"/>
  </sheets>
  <externalReferences>
    <externalReference r:id="rId11"/>
    <externalReference r:id="rId12"/>
  </externalReferences>
  <definedNames>
    <definedName name="_xlnm.Print_Area" localSheetId="0">'App 1 - Services'!$A$1:$W$135</definedName>
    <definedName name="_xlnm.Print_Titles" localSheetId="0">'App 1 - Services'!$1:$3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34" i="18" l="1"/>
  <c r="V132" i="19"/>
  <c r="V135" i="19"/>
  <c r="Q133" i="22"/>
  <c r="R191" i="18"/>
  <c r="Q191" i="18"/>
  <c r="S191" i="18" s="1"/>
  <c r="P191" i="18"/>
  <c r="R137" i="21" l="1"/>
  <c r="X144" i="22"/>
  <c r="N139" i="1"/>
  <c r="O139" i="1"/>
  <c r="P139" i="1"/>
  <c r="Q139" i="1"/>
  <c r="M139" i="1"/>
  <c r="L62" i="17"/>
  <c r="K62" i="17"/>
  <c r="J62" i="17"/>
  <c r="I62" i="17"/>
  <c r="L61" i="17"/>
  <c r="K61" i="17"/>
  <c r="J61" i="17"/>
  <c r="I61" i="17"/>
  <c r="L60" i="17"/>
  <c r="K60" i="17"/>
  <c r="J60" i="17"/>
  <c r="I60" i="17"/>
  <c r="L59" i="17"/>
  <c r="K59" i="17"/>
  <c r="J59" i="17"/>
  <c r="I59" i="17"/>
  <c r="I63" i="17" s="1"/>
  <c r="L38" i="17"/>
  <c r="L37" i="17"/>
  <c r="L36" i="17"/>
  <c r="K38" i="17"/>
  <c r="K37" i="17"/>
  <c r="K36" i="17"/>
  <c r="J38" i="17"/>
  <c r="J37" i="17"/>
  <c r="J36" i="17"/>
  <c r="I38" i="17"/>
  <c r="I37" i="17"/>
  <c r="I36" i="17"/>
  <c r="L25" i="17"/>
  <c r="L24" i="17"/>
  <c r="L23" i="17"/>
  <c r="K25" i="17"/>
  <c r="K24" i="17"/>
  <c r="K23" i="17"/>
  <c r="J25" i="17"/>
  <c r="J24" i="17"/>
  <c r="J23" i="17"/>
  <c r="I25" i="17"/>
  <c r="I24" i="17"/>
  <c r="I23" i="17"/>
  <c r="L14" i="17"/>
  <c r="L13" i="17"/>
  <c r="L12" i="17"/>
  <c r="K14" i="17"/>
  <c r="K13" i="17"/>
  <c r="J14" i="17"/>
  <c r="J13" i="17"/>
  <c r="I14" i="17"/>
  <c r="I13" i="17"/>
  <c r="K12" i="17"/>
  <c r="J12" i="17"/>
  <c r="I12" i="17"/>
  <c r="L9" i="17"/>
  <c r="L8" i="17"/>
  <c r="L7" i="17"/>
  <c r="K9" i="17"/>
  <c r="K8" i="17"/>
  <c r="K7" i="17"/>
  <c r="J9" i="17"/>
  <c r="J8" i="17"/>
  <c r="J7" i="17"/>
  <c r="I9" i="17"/>
  <c r="I8" i="17"/>
  <c r="I7" i="17"/>
  <c r="H9" i="17"/>
  <c r="H8" i="17"/>
  <c r="H7" i="17"/>
  <c r="C50" i="17"/>
  <c r="D50" i="17"/>
  <c r="C51" i="17"/>
  <c r="D51" i="17"/>
  <c r="C52" i="17"/>
  <c r="D52" i="17"/>
  <c r="C53" i="17"/>
  <c r="D53" i="17"/>
  <c r="B51" i="17"/>
  <c r="B52" i="17"/>
  <c r="B53" i="17"/>
  <c r="B50" i="17"/>
  <c r="B49" i="17"/>
  <c r="C44" i="17"/>
  <c r="D44" i="17"/>
  <c r="C45" i="17"/>
  <c r="E45" i="17"/>
  <c r="D45" i="17"/>
  <c r="C46" i="17"/>
  <c r="D46" i="17"/>
  <c r="C47" i="17"/>
  <c r="D47" i="17"/>
  <c r="B45" i="17"/>
  <c r="B46" i="17"/>
  <c r="B47" i="17"/>
  <c r="B44" i="17"/>
  <c r="C38" i="17"/>
  <c r="D38" i="17"/>
  <c r="C39" i="17"/>
  <c r="D39" i="17"/>
  <c r="C40" i="17"/>
  <c r="D40" i="17"/>
  <c r="C41" i="17"/>
  <c r="C59" i="17" s="1"/>
  <c r="D41" i="17"/>
  <c r="B39" i="17"/>
  <c r="B40" i="17"/>
  <c r="B41" i="17"/>
  <c r="B59" i="17" s="1"/>
  <c r="B38" i="17"/>
  <c r="C20" i="17"/>
  <c r="D20" i="17"/>
  <c r="C21" i="17"/>
  <c r="D21" i="17"/>
  <c r="D19" i="17"/>
  <c r="C22" i="17"/>
  <c r="D22" i="17"/>
  <c r="C23" i="17"/>
  <c r="D23" i="17"/>
  <c r="B21" i="17"/>
  <c r="B22" i="17"/>
  <c r="B23" i="17"/>
  <c r="B19" i="17"/>
  <c r="O8" i="17"/>
  <c r="B20" i="17"/>
  <c r="C14" i="17"/>
  <c r="D14" i="17"/>
  <c r="C15" i="17"/>
  <c r="D15" i="17"/>
  <c r="D13" i="17"/>
  <c r="C16" i="17"/>
  <c r="D16" i="17"/>
  <c r="C17" i="17"/>
  <c r="D17" i="17"/>
  <c r="B15" i="17"/>
  <c r="B16" i="17"/>
  <c r="B17" i="17"/>
  <c r="B14" i="17"/>
  <c r="S134" i="23"/>
  <c r="P134" i="23"/>
  <c r="H134" i="23"/>
  <c r="S6" i="23"/>
  <c r="S7" i="23"/>
  <c r="S9" i="23"/>
  <c r="S11" i="23"/>
  <c r="S12" i="23"/>
  <c r="S21" i="23"/>
  <c r="S23" i="23"/>
  <c r="S33" i="23"/>
  <c r="S35" i="23"/>
  <c r="S36" i="23"/>
  <c r="S38" i="23"/>
  <c r="S41" i="23"/>
  <c r="S46" i="23"/>
  <c r="S47" i="23"/>
  <c r="S51" i="23"/>
  <c r="S55" i="23"/>
  <c r="S63" i="23"/>
  <c r="S64" i="23"/>
  <c r="S65" i="23"/>
  <c r="S69" i="23"/>
  <c r="S72" i="23"/>
  <c r="S76" i="23"/>
  <c r="S79" i="23"/>
  <c r="S80" i="23"/>
  <c r="S85" i="23"/>
  <c r="S86" i="23"/>
  <c r="S88" i="23"/>
  <c r="S93" i="23"/>
  <c r="S94" i="23"/>
  <c r="S96" i="23"/>
  <c r="S97" i="23"/>
  <c r="S99" i="23"/>
  <c r="S100" i="23"/>
  <c r="S101" i="23"/>
  <c r="S103" i="23"/>
  <c r="S106" i="23"/>
  <c r="S115" i="23"/>
  <c r="S119" i="23"/>
  <c r="S130" i="23"/>
  <c r="S131" i="23"/>
  <c r="P10" i="23"/>
  <c r="P17" i="23"/>
  <c r="P22" i="23"/>
  <c r="P25" i="23"/>
  <c r="P26" i="23"/>
  <c r="P27" i="23"/>
  <c r="P28" i="23"/>
  <c r="P30" i="23"/>
  <c r="P32" i="23"/>
  <c r="P38" i="23"/>
  <c r="P40" i="23"/>
  <c r="P44" i="23"/>
  <c r="P48" i="23"/>
  <c r="P54" i="23"/>
  <c r="P56" i="23"/>
  <c r="P58" i="23"/>
  <c r="P59" i="23"/>
  <c r="P60" i="23"/>
  <c r="P61" i="23"/>
  <c r="P66" i="23"/>
  <c r="P68" i="23"/>
  <c r="P70" i="23"/>
  <c r="P74" i="23"/>
  <c r="P77" i="23"/>
  <c r="P78" i="23"/>
  <c r="P81" i="23"/>
  <c r="P82" i="23"/>
  <c r="P84" i="23"/>
  <c r="P89" i="23"/>
  <c r="P91" i="23"/>
  <c r="P95" i="23"/>
  <c r="P99" i="23"/>
  <c r="P100" i="23"/>
  <c r="P102" i="23"/>
  <c r="P105" i="23"/>
  <c r="P108" i="23"/>
  <c r="P109" i="23"/>
  <c r="P110" i="23"/>
  <c r="P111" i="23"/>
  <c r="P114" i="23"/>
  <c r="P117" i="23"/>
  <c r="P118" i="23"/>
  <c r="P120" i="23"/>
  <c r="P124" i="23"/>
  <c r="P127" i="23"/>
  <c r="P128" i="23"/>
  <c r="P129" i="23"/>
  <c r="P130" i="23"/>
  <c r="U20" i="23"/>
  <c r="H6" i="23"/>
  <c r="H7" i="23"/>
  <c r="H8" i="23"/>
  <c r="H9" i="23"/>
  <c r="H10" i="23"/>
  <c r="H11" i="23"/>
  <c r="H12" i="23"/>
  <c r="H13" i="23"/>
  <c r="H14" i="23"/>
  <c r="H15" i="23"/>
  <c r="U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U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U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U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U112" i="23"/>
  <c r="H113" i="23"/>
  <c r="H114" i="23"/>
  <c r="H115" i="23"/>
  <c r="H116" i="23"/>
  <c r="H117" i="23"/>
  <c r="H118" i="23"/>
  <c r="H119" i="23"/>
  <c r="H120" i="23"/>
  <c r="H121" i="23"/>
  <c r="H122" i="23"/>
  <c r="U122" i="23"/>
  <c r="H123" i="23"/>
  <c r="H124" i="23"/>
  <c r="H125" i="23"/>
  <c r="H126" i="23"/>
  <c r="H127" i="23"/>
  <c r="H128" i="23"/>
  <c r="H129" i="23"/>
  <c r="H130" i="23"/>
  <c r="H131" i="23"/>
  <c r="H132" i="23"/>
  <c r="S5" i="23"/>
  <c r="H5" i="23"/>
  <c r="AC6" i="22"/>
  <c r="AD6" i="22"/>
  <c r="AE6" i="22"/>
  <c r="AF6" i="22"/>
  <c r="AC7" i="22"/>
  <c r="AD7" i="22"/>
  <c r="AE7" i="22"/>
  <c r="AF7" i="22"/>
  <c r="AC8" i="22"/>
  <c r="AD8" i="22"/>
  <c r="AE8" i="22"/>
  <c r="AF8" i="22"/>
  <c r="AC9" i="22"/>
  <c r="AD9" i="22"/>
  <c r="AE9" i="22"/>
  <c r="AF9" i="22"/>
  <c r="AC10" i="22"/>
  <c r="AD10" i="22"/>
  <c r="AE10" i="22"/>
  <c r="AF10" i="22"/>
  <c r="AC11" i="22"/>
  <c r="AD11" i="22"/>
  <c r="AE11" i="22"/>
  <c r="AF11" i="22"/>
  <c r="AC12" i="22"/>
  <c r="AD12" i="22"/>
  <c r="AE12" i="22"/>
  <c r="AF12" i="22"/>
  <c r="AC13" i="22"/>
  <c r="AD13" i="22"/>
  <c r="AE13" i="22"/>
  <c r="AF13" i="22"/>
  <c r="AC14" i="22"/>
  <c r="AD14" i="22"/>
  <c r="AE14" i="22"/>
  <c r="AF14" i="22"/>
  <c r="AC15" i="22"/>
  <c r="AD15" i="22"/>
  <c r="AE15" i="22"/>
  <c r="AF15" i="22"/>
  <c r="AC16" i="22"/>
  <c r="AD16" i="22"/>
  <c r="AE16" i="22"/>
  <c r="AF16" i="22"/>
  <c r="AC17" i="22"/>
  <c r="AD17" i="22"/>
  <c r="AE17" i="22"/>
  <c r="AF17" i="22"/>
  <c r="AC18" i="22"/>
  <c r="AD18" i="22"/>
  <c r="AE18" i="22"/>
  <c r="AF18" i="22"/>
  <c r="AC19" i="22"/>
  <c r="AD19" i="22"/>
  <c r="AE19" i="22"/>
  <c r="AF19" i="22"/>
  <c r="AC20" i="22"/>
  <c r="AD20" i="22"/>
  <c r="AE20" i="22"/>
  <c r="AF20" i="22"/>
  <c r="AC21" i="22"/>
  <c r="AD21" i="22"/>
  <c r="AE21" i="22"/>
  <c r="AF21" i="22"/>
  <c r="AC22" i="22"/>
  <c r="AD22" i="22"/>
  <c r="AE22" i="22"/>
  <c r="AF22" i="22"/>
  <c r="AC23" i="22"/>
  <c r="AD23" i="22"/>
  <c r="AE23" i="22"/>
  <c r="AF23" i="22"/>
  <c r="AI23" i="22"/>
  <c r="AC24" i="22"/>
  <c r="AD24" i="22"/>
  <c r="AE24" i="22"/>
  <c r="AF24" i="22"/>
  <c r="AC25" i="22"/>
  <c r="AD25" i="22"/>
  <c r="AE25" i="22"/>
  <c r="AF25" i="22"/>
  <c r="AC26" i="22"/>
  <c r="AD26" i="22"/>
  <c r="AE26" i="22"/>
  <c r="AF26" i="22"/>
  <c r="AC27" i="22"/>
  <c r="AD27" i="22"/>
  <c r="AE27" i="22"/>
  <c r="AF27" i="22"/>
  <c r="AC28" i="22"/>
  <c r="AD28" i="22"/>
  <c r="AE28" i="22"/>
  <c r="AF28" i="22"/>
  <c r="AC29" i="22"/>
  <c r="AD29" i="22"/>
  <c r="AE29" i="22"/>
  <c r="AF29" i="22"/>
  <c r="AC30" i="22"/>
  <c r="AD30" i="22"/>
  <c r="AE30" i="22"/>
  <c r="AF30" i="22"/>
  <c r="AC31" i="22"/>
  <c r="AD31" i="22"/>
  <c r="AE31" i="22"/>
  <c r="AF31" i="22"/>
  <c r="AC32" i="22"/>
  <c r="AD32" i="22"/>
  <c r="AE32" i="22"/>
  <c r="AF32" i="22"/>
  <c r="AC33" i="22"/>
  <c r="AD33" i="22"/>
  <c r="AE33" i="22"/>
  <c r="AF33" i="22"/>
  <c r="AC34" i="22"/>
  <c r="AD34" i="22"/>
  <c r="AE34" i="22"/>
  <c r="AF34" i="22"/>
  <c r="AC35" i="22"/>
  <c r="AD35" i="22"/>
  <c r="AE35" i="22"/>
  <c r="AF35" i="22"/>
  <c r="T35" i="22"/>
  <c r="AC36" i="22"/>
  <c r="AD36" i="22"/>
  <c r="AE36" i="22"/>
  <c r="AF36" i="22"/>
  <c r="AC37" i="22"/>
  <c r="AD37" i="22"/>
  <c r="AE37" i="22"/>
  <c r="AF37" i="22"/>
  <c r="AC38" i="22"/>
  <c r="AD38" i="22"/>
  <c r="AE38" i="22"/>
  <c r="AF38" i="22"/>
  <c r="AC39" i="22"/>
  <c r="AD39" i="22"/>
  <c r="AE39" i="22"/>
  <c r="AF39" i="22"/>
  <c r="AC40" i="22"/>
  <c r="AD40" i="22"/>
  <c r="AE40" i="22"/>
  <c r="AF40" i="22"/>
  <c r="AC41" i="22"/>
  <c r="AD41" i="22"/>
  <c r="AE41" i="22"/>
  <c r="AF41" i="22"/>
  <c r="AC42" i="22"/>
  <c r="AD42" i="22"/>
  <c r="AE42" i="22"/>
  <c r="AF42" i="22"/>
  <c r="AC43" i="22"/>
  <c r="AD43" i="22"/>
  <c r="AE43" i="22"/>
  <c r="AF43" i="22"/>
  <c r="AC44" i="22"/>
  <c r="AD44" i="22"/>
  <c r="AE44" i="22"/>
  <c r="AF44" i="22"/>
  <c r="AC45" i="22"/>
  <c r="AD45" i="22"/>
  <c r="AE45" i="22"/>
  <c r="AF45" i="22"/>
  <c r="AC46" i="22"/>
  <c r="AD46" i="22"/>
  <c r="AE46" i="22"/>
  <c r="AF46" i="22"/>
  <c r="AC47" i="22"/>
  <c r="AD47" i="22"/>
  <c r="AE47" i="22"/>
  <c r="AF47" i="22"/>
  <c r="T47" i="22"/>
  <c r="AC48" i="22"/>
  <c r="AD48" i="22"/>
  <c r="AE48" i="22"/>
  <c r="AF48" i="22"/>
  <c r="AC49" i="22"/>
  <c r="AD49" i="22"/>
  <c r="AE49" i="22"/>
  <c r="AF49" i="22"/>
  <c r="AC50" i="22"/>
  <c r="AD50" i="22"/>
  <c r="AE50" i="22"/>
  <c r="AF50" i="22"/>
  <c r="AC51" i="22"/>
  <c r="AD51" i="22"/>
  <c r="AE51" i="22"/>
  <c r="AF51" i="22"/>
  <c r="AC52" i="22"/>
  <c r="AD52" i="22"/>
  <c r="AE52" i="22"/>
  <c r="AF52" i="22"/>
  <c r="AC53" i="22"/>
  <c r="AD53" i="22"/>
  <c r="AE53" i="22"/>
  <c r="AF53" i="22"/>
  <c r="AC54" i="22"/>
  <c r="AD54" i="22"/>
  <c r="AE54" i="22"/>
  <c r="AF54" i="22"/>
  <c r="AC55" i="22"/>
  <c r="AD55" i="22"/>
  <c r="AE55" i="22"/>
  <c r="AF55" i="22"/>
  <c r="T55" i="22"/>
  <c r="AC56" i="22"/>
  <c r="AD56" i="22"/>
  <c r="AE56" i="22"/>
  <c r="AF56" i="22"/>
  <c r="AC57" i="22"/>
  <c r="AD57" i="22"/>
  <c r="AE57" i="22"/>
  <c r="AF57" i="22"/>
  <c r="AC58" i="22"/>
  <c r="AD58" i="22"/>
  <c r="AE58" i="22"/>
  <c r="AF58" i="22"/>
  <c r="AC59" i="22"/>
  <c r="AD59" i="22"/>
  <c r="AE59" i="22"/>
  <c r="AF59" i="22"/>
  <c r="AC60" i="22"/>
  <c r="AD60" i="22"/>
  <c r="AE60" i="22"/>
  <c r="AF60" i="22"/>
  <c r="AC61" i="22"/>
  <c r="AD61" i="22"/>
  <c r="AE61" i="22"/>
  <c r="AF61" i="22"/>
  <c r="AC62" i="22"/>
  <c r="AD62" i="22"/>
  <c r="AE62" i="22"/>
  <c r="AF62" i="22"/>
  <c r="AC63" i="22"/>
  <c r="AD63" i="22"/>
  <c r="AE63" i="22"/>
  <c r="AF63" i="22"/>
  <c r="AC64" i="22"/>
  <c r="AD64" i="22"/>
  <c r="AE64" i="22"/>
  <c r="AF64" i="22"/>
  <c r="T64" i="22"/>
  <c r="AC65" i="22"/>
  <c r="AD65" i="22"/>
  <c r="AE65" i="22"/>
  <c r="AF65" i="22"/>
  <c r="AC66" i="22"/>
  <c r="AD66" i="22"/>
  <c r="AE66" i="22"/>
  <c r="AF66" i="22"/>
  <c r="AC67" i="22"/>
  <c r="AD67" i="22"/>
  <c r="AE67" i="22"/>
  <c r="AF67" i="22"/>
  <c r="AC68" i="22"/>
  <c r="AD68" i="22"/>
  <c r="AE68" i="22"/>
  <c r="AF68" i="22"/>
  <c r="AC69" i="22"/>
  <c r="AD69" i="22"/>
  <c r="AE69" i="22"/>
  <c r="AF69" i="22"/>
  <c r="AC70" i="22"/>
  <c r="AD70" i="22"/>
  <c r="AE70" i="22"/>
  <c r="AF70" i="22"/>
  <c r="AC71" i="22"/>
  <c r="AD71" i="22"/>
  <c r="AE71" i="22"/>
  <c r="AF71" i="22"/>
  <c r="AC72" i="22"/>
  <c r="AD72" i="22"/>
  <c r="AE72" i="22"/>
  <c r="AF72" i="22"/>
  <c r="AC73" i="22"/>
  <c r="AD73" i="22"/>
  <c r="AE73" i="22"/>
  <c r="AF73" i="22"/>
  <c r="AC74" i="22"/>
  <c r="AD74" i="22"/>
  <c r="AE74" i="22"/>
  <c r="AF74" i="22"/>
  <c r="AC75" i="22"/>
  <c r="AD75" i="22"/>
  <c r="AE75" i="22"/>
  <c r="AF75" i="22"/>
  <c r="AC76" i="22"/>
  <c r="AD76" i="22"/>
  <c r="AE76" i="22"/>
  <c r="AF76" i="22"/>
  <c r="AI76" i="22"/>
  <c r="AC77" i="22"/>
  <c r="AD77" i="22"/>
  <c r="AE77" i="22"/>
  <c r="AF77" i="22"/>
  <c r="AC78" i="22"/>
  <c r="AD78" i="22"/>
  <c r="AE78" i="22"/>
  <c r="AF78" i="22"/>
  <c r="AC79" i="22"/>
  <c r="AD79" i="22"/>
  <c r="AE79" i="22"/>
  <c r="AF79" i="22"/>
  <c r="AC80" i="22"/>
  <c r="AD80" i="22"/>
  <c r="AE80" i="22"/>
  <c r="AF80" i="22"/>
  <c r="AC81" i="22"/>
  <c r="AD81" i="22"/>
  <c r="AE81" i="22"/>
  <c r="AF81" i="22"/>
  <c r="AC82" i="22"/>
  <c r="AD82" i="22"/>
  <c r="AE82" i="22"/>
  <c r="AF82" i="22"/>
  <c r="AC83" i="22"/>
  <c r="AD83" i="22"/>
  <c r="AE83" i="22"/>
  <c r="AF83" i="22"/>
  <c r="AC84" i="22"/>
  <c r="AD84" i="22"/>
  <c r="AE84" i="22"/>
  <c r="AF84" i="22"/>
  <c r="AC85" i="22"/>
  <c r="AD85" i="22"/>
  <c r="AE85" i="22"/>
  <c r="AF85" i="22"/>
  <c r="AC86" i="22"/>
  <c r="AD86" i="22"/>
  <c r="AE86" i="22"/>
  <c r="AF86" i="22"/>
  <c r="AC87" i="22"/>
  <c r="AD87" i="22"/>
  <c r="AE87" i="22"/>
  <c r="AF87" i="22"/>
  <c r="AC88" i="22"/>
  <c r="AD88" i="22"/>
  <c r="AE88" i="22"/>
  <c r="AF88" i="22"/>
  <c r="AC89" i="22"/>
  <c r="AD89" i="22"/>
  <c r="AE89" i="22"/>
  <c r="AF89" i="22"/>
  <c r="AC90" i="22"/>
  <c r="AD90" i="22"/>
  <c r="AE90" i="22"/>
  <c r="AF90" i="22"/>
  <c r="AC91" i="22"/>
  <c r="AD91" i="22"/>
  <c r="AE91" i="22"/>
  <c r="AF91" i="22"/>
  <c r="AC92" i="22"/>
  <c r="AD92" i="22"/>
  <c r="AE92" i="22"/>
  <c r="AF92" i="22"/>
  <c r="AC93" i="22"/>
  <c r="AD93" i="22"/>
  <c r="AE93" i="22"/>
  <c r="AF93" i="22"/>
  <c r="AC94" i="22"/>
  <c r="AD94" i="22"/>
  <c r="AE94" i="22"/>
  <c r="AF94" i="22"/>
  <c r="AC95" i="22"/>
  <c r="AD95" i="22"/>
  <c r="AE95" i="22"/>
  <c r="AF95" i="22"/>
  <c r="AC96" i="22"/>
  <c r="AD96" i="22"/>
  <c r="AE96" i="22"/>
  <c r="AF96" i="22"/>
  <c r="AI96" i="22"/>
  <c r="AC97" i="22"/>
  <c r="AD97" i="22"/>
  <c r="AE97" i="22"/>
  <c r="AF97" i="22"/>
  <c r="AC98" i="22"/>
  <c r="AD98" i="22"/>
  <c r="AE98" i="22"/>
  <c r="AF98" i="22"/>
  <c r="AC99" i="22"/>
  <c r="AD99" i="22"/>
  <c r="AE99" i="22"/>
  <c r="Q99" i="22"/>
  <c r="AF99" i="22"/>
  <c r="AC100" i="22"/>
  <c r="AD100" i="22"/>
  <c r="AE100" i="22"/>
  <c r="AF100" i="22"/>
  <c r="AC101" i="22"/>
  <c r="AD101" i="22"/>
  <c r="AE101" i="22"/>
  <c r="AF101" i="22"/>
  <c r="AC102" i="22"/>
  <c r="AD102" i="22"/>
  <c r="AE102" i="22"/>
  <c r="AF102" i="22"/>
  <c r="AC103" i="22"/>
  <c r="AD103" i="22"/>
  <c r="AE103" i="22"/>
  <c r="AI103" i="22"/>
  <c r="AF103" i="22"/>
  <c r="AC104" i="22"/>
  <c r="AD104" i="22"/>
  <c r="AE104" i="22"/>
  <c r="AF104" i="22"/>
  <c r="AC105" i="22"/>
  <c r="AD105" i="22"/>
  <c r="AE105" i="22"/>
  <c r="AF105" i="22"/>
  <c r="AC106" i="22"/>
  <c r="AD106" i="22"/>
  <c r="AE106" i="22"/>
  <c r="AF106" i="22"/>
  <c r="AC107" i="22"/>
  <c r="AD107" i="22"/>
  <c r="AE107" i="22"/>
  <c r="AF107" i="22"/>
  <c r="AC108" i="22"/>
  <c r="AD108" i="22"/>
  <c r="AE108" i="22"/>
  <c r="AF108" i="22"/>
  <c r="AC109" i="22"/>
  <c r="AD109" i="22"/>
  <c r="AE109" i="22"/>
  <c r="AF109" i="22"/>
  <c r="AC110" i="22"/>
  <c r="AD110" i="22"/>
  <c r="AE110" i="22"/>
  <c r="AF110" i="22"/>
  <c r="AC111" i="22"/>
  <c r="AD111" i="22"/>
  <c r="AE111" i="22"/>
  <c r="AF111" i="22"/>
  <c r="AC112" i="22"/>
  <c r="AD112" i="22"/>
  <c r="AE112" i="22"/>
  <c r="AF112" i="22"/>
  <c r="AC113" i="22"/>
  <c r="AD113" i="22"/>
  <c r="AE113" i="22"/>
  <c r="AF113" i="22"/>
  <c r="AC114" i="22"/>
  <c r="AD114" i="22"/>
  <c r="AE114" i="22"/>
  <c r="AF114" i="22"/>
  <c r="AC115" i="22"/>
  <c r="AD115" i="22"/>
  <c r="AE115" i="22"/>
  <c r="AF115" i="22"/>
  <c r="T115" i="22"/>
  <c r="AC116" i="22"/>
  <c r="AD116" i="22"/>
  <c r="AE116" i="22"/>
  <c r="AF116" i="22"/>
  <c r="AI116" i="22"/>
  <c r="AC117" i="22"/>
  <c r="AD117" i="22"/>
  <c r="AE117" i="22"/>
  <c r="AF117" i="22"/>
  <c r="AC118" i="22"/>
  <c r="AD118" i="22"/>
  <c r="AE118" i="22"/>
  <c r="AI118" i="22"/>
  <c r="AF118" i="22"/>
  <c r="AC119" i="22"/>
  <c r="AD119" i="22"/>
  <c r="AE119" i="22"/>
  <c r="AF119" i="22"/>
  <c r="T119" i="22"/>
  <c r="AC120" i="22"/>
  <c r="AD120" i="22"/>
  <c r="AE120" i="22"/>
  <c r="AF120" i="22"/>
  <c r="AC121" i="22"/>
  <c r="AD121" i="22"/>
  <c r="AE121" i="22"/>
  <c r="AF121" i="22"/>
  <c r="AC122" i="22"/>
  <c r="AD122" i="22"/>
  <c r="AE122" i="22"/>
  <c r="AF122" i="22"/>
  <c r="AC123" i="22"/>
  <c r="AD123" i="22"/>
  <c r="AE123" i="22"/>
  <c r="AF123" i="22"/>
  <c r="AC124" i="22"/>
  <c r="AD124" i="22"/>
  <c r="AE124" i="22"/>
  <c r="AF124" i="22"/>
  <c r="AC125" i="22"/>
  <c r="AD125" i="22"/>
  <c r="AE125" i="22"/>
  <c r="AF125" i="22"/>
  <c r="AC126" i="22"/>
  <c r="AD126" i="22"/>
  <c r="AE126" i="22"/>
  <c r="AF126" i="22"/>
  <c r="AC127" i="22"/>
  <c r="AD127" i="22"/>
  <c r="AE127" i="22"/>
  <c r="AF127" i="22"/>
  <c r="AC128" i="22"/>
  <c r="AD128" i="22"/>
  <c r="AE128" i="22"/>
  <c r="AF128" i="22"/>
  <c r="AC129" i="22"/>
  <c r="AD129" i="22"/>
  <c r="AE129" i="22"/>
  <c r="AF129" i="22"/>
  <c r="AC130" i="22"/>
  <c r="AD130" i="22"/>
  <c r="AE130" i="22"/>
  <c r="AF130" i="22"/>
  <c r="AC131" i="22"/>
  <c r="AD131" i="22"/>
  <c r="AE131" i="22"/>
  <c r="AF131" i="22"/>
  <c r="T131" i="22"/>
  <c r="AC132" i="22"/>
  <c r="AD132" i="22"/>
  <c r="AE132" i="22"/>
  <c r="AF132" i="22"/>
  <c r="AB6" i="22"/>
  <c r="AB7" i="22"/>
  <c r="AB8" i="22"/>
  <c r="AB9" i="22"/>
  <c r="AB142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64" i="22"/>
  <c r="AB65" i="22"/>
  <c r="AB140" i="22"/>
  <c r="AB66" i="22"/>
  <c r="AB67" i="22"/>
  <c r="AB68" i="22"/>
  <c r="AB69" i="22"/>
  <c r="AB70" i="22"/>
  <c r="AB71" i="22"/>
  <c r="AB72" i="22"/>
  <c r="AB73" i="22"/>
  <c r="AB74" i="22"/>
  <c r="AB75" i="22"/>
  <c r="AB76" i="22"/>
  <c r="AB77" i="22"/>
  <c r="AB78" i="22"/>
  <c r="AB79" i="22"/>
  <c r="AB80" i="22"/>
  <c r="AB81" i="22"/>
  <c r="AB82" i="22"/>
  <c r="AB83" i="22"/>
  <c r="AB84" i="22"/>
  <c r="AB85" i="22"/>
  <c r="AB86" i="22"/>
  <c r="AB87" i="22"/>
  <c r="AB88" i="22"/>
  <c r="AB89" i="22"/>
  <c r="AB90" i="22"/>
  <c r="AB91" i="22"/>
  <c r="AB92" i="22"/>
  <c r="AB93" i="22"/>
  <c r="AB94" i="22"/>
  <c r="AB95" i="22"/>
  <c r="AB96" i="22"/>
  <c r="AB97" i="22"/>
  <c r="AB98" i="22"/>
  <c r="AB99" i="22"/>
  <c r="AB100" i="22"/>
  <c r="AB101" i="22"/>
  <c r="AB102" i="22"/>
  <c r="AB103" i="22"/>
  <c r="AB104" i="22"/>
  <c r="AB105" i="22"/>
  <c r="AB106" i="22"/>
  <c r="AB107" i="22"/>
  <c r="AB108" i="22"/>
  <c r="AB109" i="22"/>
  <c r="AB110" i="22"/>
  <c r="AB111" i="22"/>
  <c r="AB112" i="22"/>
  <c r="AB113" i="22"/>
  <c r="AB114" i="22"/>
  <c r="AB115" i="22"/>
  <c r="AB116" i="22"/>
  <c r="AB117" i="22"/>
  <c r="AB118" i="22"/>
  <c r="AB119" i="22"/>
  <c r="AB120" i="22"/>
  <c r="AB121" i="22"/>
  <c r="AB122" i="22"/>
  <c r="AB123" i="22"/>
  <c r="AB124" i="22"/>
  <c r="AB125" i="22"/>
  <c r="AB126" i="22"/>
  <c r="AB127" i="22"/>
  <c r="AB128" i="22"/>
  <c r="AB129" i="22"/>
  <c r="AB130" i="22"/>
  <c r="AB131" i="22"/>
  <c r="AB132" i="22"/>
  <c r="AB5" i="22"/>
  <c r="Z6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S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AH53" i="22"/>
  <c r="Z54" i="22"/>
  <c r="Z55" i="22"/>
  <c r="Z56" i="22"/>
  <c r="Z57" i="22"/>
  <c r="Z58" i="22"/>
  <c r="Z59" i="22"/>
  <c r="Z60" i="22"/>
  <c r="Z61" i="22"/>
  <c r="AH61" i="22"/>
  <c r="Z62" i="22"/>
  <c r="Z63" i="22"/>
  <c r="Z64" i="22"/>
  <c r="Z65" i="22"/>
  <c r="AH65" i="22"/>
  <c r="Z66" i="22"/>
  <c r="Z67" i="22"/>
  <c r="Z68" i="22"/>
  <c r="Z69" i="22"/>
  <c r="Z70" i="22"/>
  <c r="Z71" i="22"/>
  <c r="Z72" i="22"/>
  <c r="Z73" i="22"/>
  <c r="Z74" i="22"/>
  <c r="Z75" i="22"/>
  <c r="Z76" i="22"/>
  <c r="Z77" i="22"/>
  <c r="Z78" i="22"/>
  <c r="Z79" i="22"/>
  <c r="Z80" i="22"/>
  <c r="Z81" i="22"/>
  <c r="Z82" i="22"/>
  <c r="Z83" i="22"/>
  <c r="Z84" i="22"/>
  <c r="Z85" i="22"/>
  <c r="AH85" i="22"/>
  <c r="Z86" i="22"/>
  <c r="Z87" i="22"/>
  <c r="Z88" i="22"/>
  <c r="Z89" i="22"/>
  <c r="AH89" i="22"/>
  <c r="Z90" i="22"/>
  <c r="Z91" i="22"/>
  <c r="Z92" i="22"/>
  <c r="Z93" i="22"/>
  <c r="S93" i="22"/>
  <c r="Z94" i="22"/>
  <c r="Z95" i="22"/>
  <c r="Z96" i="22"/>
  <c r="Z97" i="22"/>
  <c r="AH97" i="22"/>
  <c r="Z98" i="22"/>
  <c r="Z99" i="22"/>
  <c r="Z100" i="22"/>
  <c r="Z101" i="22"/>
  <c r="AH101" i="22"/>
  <c r="Z102" i="22"/>
  <c r="Z103" i="22"/>
  <c r="Z104" i="22"/>
  <c r="Z105" i="22"/>
  <c r="Z106" i="22"/>
  <c r="Z107" i="22"/>
  <c r="Z108" i="22"/>
  <c r="Z109" i="22"/>
  <c r="AH109" i="22"/>
  <c r="Z110" i="22"/>
  <c r="Z111" i="22"/>
  <c r="Z112" i="22"/>
  <c r="Z113" i="22"/>
  <c r="Z114" i="22"/>
  <c r="Z115" i="22"/>
  <c r="Z116" i="22"/>
  <c r="Z117" i="22"/>
  <c r="Z118" i="22"/>
  <c r="Z119" i="22"/>
  <c r="Z120" i="22"/>
  <c r="Z121" i="22"/>
  <c r="AH121" i="22"/>
  <c r="Z122" i="22"/>
  <c r="Z123" i="22"/>
  <c r="Z124" i="22"/>
  <c r="Z125" i="22"/>
  <c r="Z126" i="22"/>
  <c r="Z127" i="22"/>
  <c r="Z128" i="22"/>
  <c r="Z129" i="22"/>
  <c r="AH129" i="22"/>
  <c r="Z130" i="22"/>
  <c r="Z131" i="22"/>
  <c r="Z132" i="22"/>
  <c r="V6" i="22"/>
  <c r="W6" i="22"/>
  <c r="X6" i="22"/>
  <c r="Y6" i="22"/>
  <c r="V7" i="22"/>
  <c r="W7" i="22"/>
  <c r="X7" i="22"/>
  <c r="Y7" i="22"/>
  <c r="V8" i="22"/>
  <c r="W8" i="22"/>
  <c r="H8" i="22"/>
  <c r="X8" i="22"/>
  <c r="Y8" i="22"/>
  <c r="V9" i="22"/>
  <c r="W9" i="22"/>
  <c r="X9" i="22"/>
  <c r="Y9" i="22"/>
  <c r="V10" i="22"/>
  <c r="W10" i="22"/>
  <c r="X10" i="22"/>
  <c r="Y10" i="22"/>
  <c r="P10" i="22"/>
  <c r="V11" i="22"/>
  <c r="W11" i="22"/>
  <c r="X11" i="22"/>
  <c r="Y11" i="22"/>
  <c r="V12" i="22"/>
  <c r="W12" i="22"/>
  <c r="H12" i="22"/>
  <c r="X12" i="22"/>
  <c r="Y12" i="22"/>
  <c r="V13" i="22"/>
  <c r="W13" i="22"/>
  <c r="X13" i="22"/>
  <c r="Y13" i="22"/>
  <c r="V14" i="22"/>
  <c r="W14" i="22"/>
  <c r="X14" i="22"/>
  <c r="Y14" i="22"/>
  <c r="AH14" i="22"/>
  <c r="V15" i="22"/>
  <c r="W15" i="22"/>
  <c r="X15" i="22"/>
  <c r="Y15" i="22"/>
  <c r="V16" i="22"/>
  <c r="W16" i="22"/>
  <c r="H16" i="22"/>
  <c r="X16" i="22"/>
  <c r="Y16" i="22"/>
  <c r="V17" i="22"/>
  <c r="W17" i="22"/>
  <c r="X17" i="22"/>
  <c r="Y17" i="22"/>
  <c r="V18" i="22"/>
  <c r="W18" i="22"/>
  <c r="X18" i="22"/>
  <c r="Y18" i="22"/>
  <c r="V19" i="22"/>
  <c r="W19" i="22"/>
  <c r="X19" i="22"/>
  <c r="Y19" i="22"/>
  <c r="V20" i="22"/>
  <c r="W20" i="22"/>
  <c r="X20" i="22"/>
  <c r="Y20" i="22"/>
  <c r="V21" i="22"/>
  <c r="W21" i="22"/>
  <c r="X21" i="22"/>
  <c r="Y21" i="22"/>
  <c r="V22" i="22"/>
  <c r="W22" i="22"/>
  <c r="X22" i="22"/>
  <c r="Y22" i="22"/>
  <c r="Q22" i="22"/>
  <c r="V23" i="22"/>
  <c r="W23" i="22"/>
  <c r="X23" i="22"/>
  <c r="Y23" i="22"/>
  <c r="V24" i="22"/>
  <c r="W24" i="22"/>
  <c r="X24" i="22"/>
  <c r="Y24" i="22"/>
  <c r="V25" i="22"/>
  <c r="W25" i="22"/>
  <c r="X25" i="22"/>
  <c r="Y25" i="22"/>
  <c r="AH25" i="22"/>
  <c r="V26" i="22"/>
  <c r="W26" i="22"/>
  <c r="X26" i="22"/>
  <c r="Y26" i="22"/>
  <c r="V27" i="22"/>
  <c r="W27" i="22"/>
  <c r="X27" i="22"/>
  <c r="Y27" i="22"/>
  <c r="V28" i="22"/>
  <c r="W28" i="22"/>
  <c r="H28" i="22"/>
  <c r="X28" i="22"/>
  <c r="Y28" i="22"/>
  <c r="V29" i="22"/>
  <c r="W29" i="22"/>
  <c r="X29" i="22"/>
  <c r="Y29" i="22"/>
  <c r="V30" i="22"/>
  <c r="W30" i="22"/>
  <c r="X30" i="22"/>
  <c r="Y30" i="22"/>
  <c r="V31" i="22"/>
  <c r="W31" i="22"/>
  <c r="X31" i="22"/>
  <c r="Y31" i="22"/>
  <c r="V32" i="22"/>
  <c r="W32" i="22"/>
  <c r="X32" i="22"/>
  <c r="Y32" i="22"/>
  <c r="V33" i="22"/>
  <c r="W33" i="22"/>
  <c r="X33" i="22"/>
  <c r="Y33" i="22"/>
  <c r="V34" i="22"/>
  <c r="W34" i="22"/>
  <c r="X34" i="22"/>
  <c r="Y34" i="22"/>
  <c r="AH34" i="22"/>
  <c r="V35" i="22"/>
  <c r="W35" i="22"/>
  <c r="X35" i="22"/>
  <c r="Y35" i="22"/>
  <c r="V36" i="22"/>
  <c r="W36" i="22"/>
  <c r="G36" i="22"/>
  <c r="X36" i="22"/>
  <c r="Y36" i="22"/>
  <c r="V37" i="22"/>
  <c r="W37" i="22"/>
  <c r="X37" i="22"/>
  <c r="Y37" i="22"/>
  <c r="V38" i="22"/>
  <c r="W38" i="22"/>
  <c r="X38" i="22"/>
  <c r="Y38" i="22"/>
  <c r="V39" i="22"/>
  <c r="W39" i="22"/>
  <c r="X39" i="22"/>
  <c r="Y39" i="22"/>
  <c r="V40" i="22"/>
  <c r="W40" i="22"/>
  <c r="X40" i="22"/>
  <c r="Y40" i="22"/>
  <c r="V41" i="22"/>
  <c r="W41" i="22"/>
  <c r="X41" i="22"/>
  <c r="Y41" i="22"/>
  <c r="AH41" i="22"/>
  <c r="V42" i="22"/>
  <c r="W42" i="22"/>
  <c r="X42" i="22"/>
  <c r="Y42" i="22"/>
  <c r="V43" i="22"/>
  <c r="W43" i="22"/>
  <c r="X43" i="22"/>
  <c r="Y43" i="22"/>
  <c r="V44" i="22"/>
  <c r="W44" i="22"/>
  <c r="G44" i="22"/>
  <c r="X44" i="22"/>
  <c r="Y44" i="22"/>
  <c r="V45" i="22"/>
  <c r="W45" i="22"/>
  <c r="X45" i="22"/>
  <c r="Y45" i="22"/>
  <c r="V46" i="22"/>
  <c r="W46" i="22"/>
  <c r="X46" i="22"/>
  <c r="Y46" i="22"/>
  <c r="AH46" i="22"/>
  <c r="V47" i="22"/>
  <c r="W47" i="22"/>
  <c r="X47" i="22"/>
  <c r="Y47" i="22"/>
  <c r="V48" i="22"/>
  <c r="W48" i="22"/>
  <c r="X48" i="22"/>
  <c r="Y48" i="22"/>
  <c r="V49" i="22"/>
  <c r="W49" i="22"/>
  <c r="X49" i="22"/>
  <c r="Y49" i="22"/>
  <c r="V50" i="22"/>
  <c r="W50" i="22"/>
  <c r="X50" i="22"/>
  <c r="Y50" i="22"/>
  <c r="V51" i="22"/>
  <c r="W51" i="22"/>
  <c r="X51" i="22"/>
  <c r="Y51" i="22"/>
  <c r="V52" i="22"/>
  <c r="W52" i="22"/>
  <c r="G52" i="22"/>
  <c r="X52" i="22"/>
  <c r="Y52" i="22"/>
  <c r="V53" i="22"/>
  <c r="W53" i="22"/>
  <c r="X53" i="22"/>
  <c r="Y53" i="22"/>
  <c r="V54" i="22"/>
  <c r="W54" i="22"/>
  <c r="X54" i="22"/>
  <c r="Y54" i="22"/>
  <c r="V55" i="22"/>
  <c r="W55" i="22"/>
  <c r="X55" i="22"/>
  <c r="Y55" i="22"/>
  <c r="V56" i="22"/>
  <c r="W56" i="22"/>
  <c r="G56" i="22"/>
  <c r="X56" i="22"/>
  <c r="Y56" i="22"/>
  <c r="V57" i="22"/>
  <c r="W57" i="22"/>
  <c r="X57" i="22"/>
  <c r="Y57" i="22"/>
  <c r="AH57" i="22"/>
  <c r="V58" i="22"/>
  <c r="W58" i="22"/>
  <c r="X58" i="22"/>
  <c r="Y58" i="22"/>
  <c r="V59" i="22"/>
  <c r="W59" i="22"/>
  <c r="X59" i="22"/>
  <c r="Y59" i="22"/>
  <c r="V60" i="22"/>
  <c r="W60" i="22"/>
  <c r="X60" i="22"/>
  <c r="Y60" i="22"/>
  <c r="V61" i="22"/>
  <c r="W61" i="22"/>
  <c r="X61" i="22"/>
  <c r="Y61" i="22"/>
  <c r="V62" i="22"/>
  <c r="W62" i="22"/>
  <c r="X62" i="22"/>
  <c r="Y62" i="22"/>
  <c r="V63" i="22"/>
  <c r="W63" i="22"/>
  <c r="X63" i="22"/>
  <c r="Y63" i="22"/>
  <c r="V64" i="22"/>
  <c r="W64" i="22"/>
  <c r="X64" i="22"/>
  <c r="Y64" i="22"/>
  <c r="V65" i="22"/>
  <c r="W65" i="22"/>
  <c r="X65" i="22"/>
  <c r="Y65" i="22"/>
  <c r="V66" i="22"/>
  <c r="W66" i="22"/>
  <c r="X66" i="22"/>
  <c r="Y66" i="22"/>
  <c r="AH66" i="22"/>
  <c r="V67" i="22"/>
  <c r="W67" i="22"/>
  <c r="X67" i="22"/>
  <c r="Y67" i="22"/>
  <c r="V68" i="22"/>
  <c r="W68" i="22"/>
  <c r="X68" i="22"/>
  <c r="Y68" i="22"/>
  <c r="V69" i="22"/>
  <c r="W69" i="22"/>
  <c r="X69" i="22"/>
  <c r="Y69" i="22"/>
  <c r="V70" i="22"/>
  <c r="W70" i="22"/>
  <c r="X70" i="22"/>
  <c r="Y70" i="22"/>
  <c r="AH70" i="22"/>
  <c r="V71" i="22"/>
  <c r="W71" i="22"/>
  <c r="X71" i="22"/>
  <c r="Y71" i="22"/>
  <c r="V72" i="22"/>
  <c r="W72" i="22"/>
  <c r="G72" i="22"/>
  <c r="X72" i="22"/>
  <c r="Y72" i="22"/>
  <c r="V73" i="22"/>
  <c r="W73" i="22"/>
  <c r="X73" i="22"/>
  <c r="Y73" i="22"/>
  <c r="V74" i="22"/>
  <c r="W74" i="22"/>
  <c r="X74" i="22"/>
  <c r="Y74" i="22"/>
  <c r="AH74" i="22"/>
  <c r="V75" i="22"/>
  <c r="W75" i="22"/>
  <c r="X75" i="22"/>
  <c r="Y75" i="22"/>
  <c r="V76" i="22"/>
  <c r="W76" i="22"/>
  <c r="G76" i="22"/>
  <c r="X76" i="22"/>
  <c r="Y76" i="22"/>
  <c r="V77" i="22"/>
  <c r="W77" i="22"/>
  <c r="X77" i="22"/>
  <c r="Y77" i="22"/>
  <c r="AH77" i="22"/>
  <c r="V78" i="22"/>
  <c r="W78" i="22"/>
  <c r="X78" i="22"/>
  <c r="Y78" i="22"/>
  <c r="V79" i="22"/>
  <c r="W79" i="22"/>
  <c r="X79" i="22"/>
  <c r="Y79" i="22"/>
  <c r="V80" i="22"/>
  <c r="W80" i="22"/>
  <c r="X80" i="22"/>
  <c r="Y80" i="22"/>
  <c r="V81" i="22"/>
  <c r="W81" i="22"/>
  <c r="X81" i="22"/>
  <c r="Y81" i="22"/>
  <c r="V82" i="22"/>
  <c r="W82" i="22"/>
  <c r="X82" i="22"/>
  <c r="Y82" i="22"/>
  <c r="V83" i="22"/>
  <c r="W83" i="22"/>
  <c r="X83" i="22"/>
  <c r="Y83" i="22"/>
  <c r="V84" i="22"/>
  <c r="W84" i="22"/>
  <c r="X84" i="22"/>
  <c r="Y84" i="22"/>
  <c r="V85" i="22"/>
  <c r="W85" i="22"/>
  <c r="X85" i="22"/>
  <c r="Y85" i="22"/>
  <c r="V86" i="22"/>
  <c r="W86" i="22"/>
  <c r="X86" i="22"/>
  <c r="Y86" i="22"/>
  <c r="V87" i="22"/>
  <c r="W87" i="22"/>
  <c r="X87" i="22"/>
  <c r="Y87" i="22"/>
  <c r="V88" i="22"/>
  <c r="W88" i="22"/>
  <c r="X88" i="22"/>
  <c r="Y88" i="22"/>
  <c r="V89" i="22"/>
  <c r="W89" i="22"/>
  <c r="X89" i="22"/>
  <c r="Y89" i="22"/>
  <c r="V90" i="22"/>
  <c r="W90" i="22"/>
  <c r="X90" i="22"/>
  <c r="Y90" i="22"/>
  <c r="AH90" i="22"/>
  <c r="V91" i="22"/>
  <c r="W91" i="22"/>
  <c r="X91" i="22"/>
  <c r="Y91" i="22"/>
  <c r="V92" i="22"/>
  <c r="W92" i="22"/>
  <c r="X92" i="22"/>
  <c r="Y92" i="22"/>
  <c r="V93" i="22"/>
  <c r="W93" i="22"/>
  <c r="X93" i="22"/>
  <c r="Y93" i="22"/>
  <c r="AH93" i="22"/>
  <c r="V94" i="22"/>
  <c r="W94" i="22"/>
  <c r="X94" i="22"/>
  <c r="Y94" i="22"/>
  <c r="AH94" i="22"/>
  <c r="V95" i="22"/>
  <c r="W95" i="22"/>
  <c r="X95" i="22"/>
  <c r="Y95" i="22"/>
  <c r="V96" i="22"/>
  <c r="W96" i="22"/>
  <c r="G96" i="22"/>
  <c r="X96" i="22"/>
  <c r="Y96" i="22"/>
  <c r="V97" i="22"/>
  <c r="W97" i="22"/>
  <c r="X97" i="22"/>
  <c r="Y97" i="22"/>
  <c r="V98" i="22"/>
  <c r="W98" i="22"/>
  <c r="X98" i="22"/>
  <c r="Y98" i="22"/>
  <c r="V99" i="22"/>
  <c r="W99" i="22"/>
  <c r="X99" i="22"/>
  <c r="Y99" i="22"/>
  <c r="V100" i="22"/>
  <c r="W100" i="22"/>
  <c r="H100" i="22"/>
  <c r="X100" i="22"/>
  <c r="Y100" i="22"/>
  <c r="V101" i="22"/>
  <c r="W101" i="22"/>
  <c r="X101" i="22"/>
  <c r="Y101" i="22"/>
  <c r="V102" i="22"/>
  <c r="W102" i="22"/>
  <c r="X102" i="22"/>
  <c r="Y102" i="22"/>
  <c r="P102" i="22"/>
  <c r="V103" i="22"/>
  <c r="W103" i="22"/>
  <c r="X103" i="22"/>
  <c r="Y103" i="22"/>
  <c r="V104" i="22"/>
  <c r="W104" i="22"/>
  <c r="G104" i="22"/>
  <c r="X104" i="22"/>
  <c r="Y104" i="22"/>
  <c r="V105" i="22"/>
  <c r="W105" i="22"/>
  <c r="X105" i="22"/>
  <c r="Y105" i="22"/>
  <c r="V106" i="22"/>
  <c r="W106" i="22"/>
  <c r="X106" i="22"/>
  <c r="Y106" i="22"/>
  <c r="AH106" i="22"/>
  <c r="V107" i="22"/>
  <c r="W107" i="22"/>
  <c r="X107" i="22"/>
  <c r="Y107" i="22"/>
  <c r="V108" i="22"/>
  <c r="W108" i="22"/>
  <c r="G108" i="22"/>
  <c r="X108" i="22"/>
  <c r="Y108" i="22"/>
  <c r="V109" i="22"/>
  <c r="W109" i="22"/>
  <c r="X109" i="22"/>
  <c r="Y109" i="22"/>
  <c r="V110" i="22"/>
  <c r="W110" i="22"/>
  <c r="X110" i="22"/>
  <c r="Y110" i="22"/>
  <c r="AH110" i="22"/>
  <c r="V111" i="22"/>
  <c r="W111" i="22"/>
  <c r="X111" i="22"/>
  <c r="Y111" i="22"/>
  <c r="V112" i="22"/>
  <c r="W112" i="22"/>
  <c r="G112" i="22"/>
  <c r="X112" i="22"/>
  <c r="Y112" i="22"/>
  <c r="V113" i="22"/>
  <c r="W113" i="22"/>
  <c r="X113" i="22"/>
  <c r="Y113" i="22"/>
  <c r="V114" i="22"/>
  <c r="W114" i="22"/>
  <c r="X114" i="22"/>
  <c r="Y114" i="22"/>
  <c r="AH114" i="22"/>
  <c r="V115" i="22"/>
  <c r="W115" i="22"/>
  <c r="X115" i="22"/>
  <c r="Y115" i="22"/>
  <c r="V116" i="22"/>
  <c r="W116" i="22"/>
  <c r="H116" i="22"/>
  <c r="X116" i="22"/>
  <c r="Y116" i="22"/>
  <c r="V117" i="22"/>
  <c r="W117" i="22"/>
  <c r="X117" i="22"/>
  <c r="Y117" i="22"/>
  <c r="V118" i="22"/>
  <c r="W118" i="22"/>
  <c r="X118" i="22"/>
  <c r="Y118" i="22"/>
  <c r="AH118" i="22"/>
  <c r="V119" i="22"/>
  <c r="W119" i="22"/>
  <c r="X119" i="22"/>
  <c r="Y119" i="22"/>
  <c r="V120" i="22"/>
  <c r="W120" i="22"/>
  <c r="G120" i="22"/>
  <c r="X120" i="22"/>
  <c r="Y120" i="22"/>
  <c r="V121" i="22"/>
  <c r="W121" i="22"/>
  <c r="X121" i="22"/>
  <c r="Y121" i="22"/>
  <c r="V122" i="22"/>
  <c r="W122" i="22"/>
  <c r="X122" i="22"/>
  <c r="Y122" i="22"/>
  <c r="AH122" i="22"/>
  <c r="V123" i="22"/>
  <c r="W123" i="22"/>
  <c r="X123" i="22"/>
  <c r="Y123" i="22"/>
  <c r="V124" i="22"/>
  <c r="W124" i="22"/>
  <c r="X124" i="22"/>
  <c r="Y124" i="22"/>
  <c r="V125" i="22"/>
  <c r="W125" i="22"/>
  <c r="X125" i="22"/>
  <c r="Y125" i="22"/>
  <c r="V126" i="22"/>
  <c r="W126" i="22"/>
  <c r="X126" i="22"/>
  <c r="Y126" i="22"/>
  <c r="V127" i="22"/>
  <c r="W127" i="22"/>
  <c r="X127" i="22"/>
  <c r="Y127" i="22"/>
  <c r="V128" i="22"/>
  <c r="W128" i="22"/>
  <c r="X128" i="22"/>
  <c r="Y128" i="22"/>
  <c r="V129" i="22"/>
  <c r="W129" i="22"/>
  <c r="X129" i="22"/>
  <c r="Y129" i="22"/>
  <c r="V130" i="22"/>
  <c r="W130" i="22"/>
  <c r="X130" i="22"/>
  <c r="Y130" i="22"/>
  <c r="V131" i="22"/>
  <c r="W131" i="22"/>
  <c r="X131" i="22"/>
  <c r="Y131" i="22"/>
  <c r="V132" i="22"/>
  <c r="W132" i="22"/>
  <c r="G132" i="22"/>
  <c r="X132" i="22"/>
  <c r="Y132" i="22"/>
  <c r="Z5" i="22"/>
  <c r="Y5" i="22"/>
  <c r="X5" i="22"/>
  <c r="W5" i="22"/>
  <c r="V5" i="22"/>
  <c r="R6" i="22"/>
  <c r="R7" i="22"/>
  <c r="R8" i="22"/>
  <c r="R9" i="22"/>
  <c r="R10" i="22"/>
  <c r="R11" i="22"/>
  <c r="R12" i="22"/>
  <c r="R13" i="22"/>
  <c r="R14" i="22"/>
  <c r="R15" i="22"/>
  <c r="R16" i="22"/>
  <c r="R17" i="22"/>
  <c r="AJ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AJ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AJ49" i="22"/>
  <c r="R50" i="22"/>
  <c r="R51" i="22"/>
  <c r="R52" i="22"/>
  <c r="R53" i="22"/>
  <c r="R54" i="22"/>
  <c r="R55" i="22"/>
  <c r="R56" i="22"/>
  <c r="R57" i="22"/>
  <c r="R58" i="22"/>
  <c r="R59" i="22"/>
  <c r="R60" i="22"/>
  <c r="R61" i="22"/>
  <c r="R62" i="22"/>
  <c r="R63" i="22"/>
  <c r="R64" i="22"/>
  <c r="R65" i="22"/>
  <c r="R66" i="22"/>
  <c r="R67" i="22"/>
  <c r="R68" i="22"/>
  <c r="R69" i="22"/>
  <c r="R70" i="22"/>
  <c r="R71" i="22"/>
  <c r="R72" i="22"/>
  <c r="R73" i="22"/>
  <c r="R74" i="22"/>
  <c r="R75" i="22"/>
  <c r="R76" i="22"/>
  <c r="R77" i="22"/>
  <c r="R78" i="22"/>
  <c r="R79" i="22"/>
  <c r="R80" i="22"/>
  <c r="R81" i="22"/>
  <c r="R82" i="22"/>
  <c r="R83" i="22"/>
  <c r="R84" i="22"/>
  <c r="R85" i="22"/>
  <c r="R86" i="22"/>
  <c r="R87" i="22"/>
  <c r="R88" i="22"/>
  <c r="R89" i="22"/>
  <c r="R90" i="22"/>
  <c r="R91" i="22"/>
  <c r="R92" i="22"/>
  <c r="R93" i="22"/>
  <c r="AJ93" i="22"/>
  <c r="R94" i="22"/>
  <c r="R95" i="22"/>
  <c r="R96" i="22"/>
  <c r="R97" i="22"/>
  <c r="R98" i="22"/>
  <c r="R99" i="22"/>
  <c r="R100" i="22"/>
  <c r="R101" i="22"/>
  <c r="R102" i="22"/>
  <c r="R103" i="22"/>
  <c r="R104" i="22"/>
  <c r="R105" i="22"/>
  <c r="R106" i="22"/>
  <c r="R107" i="22"/>
  <c r="R108" i="22"/>
  <c r="R109" i="22"/>
  <c r="R110" i="22"/>
  <c r="R111" i="22"/>
  <c r="R112" i="22"/>
  <c r="R113" i="22"/>
  <c r="R114" i="22"/>
  <c r="R115" i="22"/>
  <c r="R116" i="22"/>
  <c r="R117" i="22"/>
  <c r="R118" i="22"/>
  <c r="R119" i="22"/>
  <c r="R120" i="22"/>
  <c r="R121" i="22"/>
  <c r="R122" i="22"/>
  <c r="R123" i="22"/>
  <c r="R124" i="22"/>
  <c r="R125" i="22"/>
  <c r="R126" i="22"/>
  <c r="R127" i="22"/>
  <c r="R128" i="22"/>
  <c r="R129" i="22"/>
  <c r="AJ129" i="22"/>
  <c r="R130" i="22"/>
  <c r="R131" i="22"/>
  <c r="R132" i="22"/>
  <c r="O6" i="22"/>
  <c r="O7" i="22"/>
  <c r="O8" i="22"/>
  <c r="O9" i="22"/>
  <c r="O10" i="22"/>
  <c r="O11" i="22"/>
  <c r="O12" i="22"/>
  <c r="O13" i="22"/>
  <c r="O14" i="22"/>
  <c r="O15" i="22"/>
  <c r="O16" i="22"/>
  <c r="O17" i="22"/>
  <c r="P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P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104" i="22"/>
  <c r="O105" i="22"/>
  <c r="P105" i="22"/>
  <c r="O106" i="22"/>
  <c r="O107" i="22"/>
  <c r="O108" i="22"/>
  <c r="O109" i="22"/>
  <c r="P109" i="22"/>
  <c r="O110" i="22"/>
  <c r="O111" i="22"/>
  <c r="O112" i="22"/>
  <c r="AJ112" i="22"/>
  <c r="O113" i="22"/>
  <c r="O114" i="22"/>
  <c r="O115" i="22"/>
  <c r="O116" i="22"/>
  <c r="O117" i="22"/>
  <c r="O118" i="22"/>
  <c r="O119" i="22"/>
  <c r="O120" i="22"/>
  <c r="O121" i="22"/>
  <c r="O122" i="22"/>
  <c r="O123" i="22"/>
  <c r="O124" i="22"/>
  <c r="O125" i="22"/>
  <c r="O126" i="22"/>
  <c r="O127" i="22"/>
  <c r="O128" i="22"/>
  <c r="AJ128" i="22"/>
  <c r="O129" i="22"/>
  <c r="P129" i="22"/>
  <c r="O130" i="22"/>
  <c r="O131" i="22"/>
  <c r="O132" i="22"/>
  <c r="AJ132" i="22"/>
  <c r="R5" i="22"/>
  <c r="O5" i="22"/>
  <c r="K6" i="22"/>
  <c r="K7" i="22"/>
  <c r="K8" i="22"/>
  <c r="K9" i="22"/>
  <c r="L9" i="22"/>
  <c r="L9" i="23" s="1"/>
  <c r="K10" i="22"/>
  <c r="K11" i="22"/>
  <c r="L11" i="22" s="1"/>
  <c r="L11" i="23" s="1"/>
  <c r="U11" i="23" s="1"/>
  <c r="K12" i="22"/>
  <c r="K13" i="22"/>
  <c r="L13" i="22" s="1"/>
  <c r="L13" i="23" s="1"/>
  <c r="K14" i="22"/>
  <c r="K15" i="22"/>
  <c r="K16" i="22"/>
  <c r="K17" i="22"/>
  <c r="K18" i="22"/>
  <c r="K19" i="22"/>
  <c r="K20" i="22"/>
  <c r="K21" i="22"/>
  <c r="K22" i="22"/>
  <c r="K23" i="22"/>
  <c r="L23" i="22" s="1"/>
  <c r="L23" i="23" s="1"/>
  <c r="U23" i="23" s="1"/>
  <c r="K24" i="22"/>
  <c r="K25" i="22"/>
  <c r="M25" i="22" s="1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L39" i="22" s="1"/>
  <c r="L39" i="23" s="1"/>
  <c r="U39" i="23" s="1"/>
  <c r="K40" i="22"/>
  <c r="K41" i="22"/>
  <c r="K42" i="22"/>
  <c r="K43" i="22"/>
  <c r="K44" i="22"/>
  <c r="K45" i="22"/>
  <c r="L45" i="22" s="1"/>
  <c r="L45" i="23" s="1"/>
  <c r="K46" i="22"/>
  <c r="K47" i="22"/>
  <c r="L47" i="22" s="1"/>
  <c r="L47" i="23" s="1"/>
  <c r="U47" i="23" s="1"/>
  <c r="K48" i="22"/>
  <c r="K49" i="22"/>
  <c r="K50" i="22"/>
  <c r="K51" i="22"/>
  <c r="M51" i="22" s="1"/>
  <c r="K52" i="22"/>
  <c r="K53" i="22"/>
  <c r="K54" i="22"/>
  <c r="K55" i="22"/>
  <c r="K56" i="22"/>
  <c r="K57" i="22"/>
  <c r="K58" i="22"/>
  <c r="K59" i="22"/>
  <c r="M59" i="22" s="1"/>
  <c r="K60" i="22"/>
  <c r="K61" i="22"/>
  <c r="K62" i="22"/>
  <c r="K63" i="22"/>
  <c r="M63" i="22" s="1"/>
  <c r="K64" i="22"/>
  <c r="K65" i="22"/>
  <c r="K66" i="22"/>
  <c r="K67" i="22"/>
  <c r="L67" i="22" s="1"/>
  <c r="L67" i="23" s="1"/>
  <c r="U67" i="23" s="1"/>
  <c r="K68" i="22"/>
  <c r="K69" i="22"/>
  <c r="L69" i="22" s="1"/>
  <c r="L69" i="23" s="1"/>
  <c r="U69" i="23" s="1"/>
  <c r="K70" i="22"/>
  <c r="K71" i="22"/>
  <c r="M71" i="22" s="1"/>
  <c r="K72" i="22"/>
  <c r="K73" i="22"/>
  <c r="K74" i="22"/>
  <c r="K75" i="22"/>
  <c r="M75" i="22" s="1"/>
  <c r="K76" i="22"/>
  <c r="K77" i="22"/>
  <c r="K78" i="22"/>
  <c r="K79" i="22"/>
  <c r="L79" i="22" s="1"/>
  <c r="L79" i="23" s="1"/>
  <c r="U79" i="23" s="1"/>
  <c r="K80" i="22"/>
  <c r="K81" i="22"/>
  <c r="L81" i="22"/>
  <c r="L81" i="23" s="1"/>
  <c r="K82" i="22"/>
  <c r="K83" i="22"/>
  <c r="L83" i="22" s="1"/>
  <c r="L83" i="23" s="1"/>
  <c r="K84" i="22"/>
  <c r="K85" i="22"/>
  <c r="K86" i="22"/>
  <c r="K87" i="22"/>
  <c r="K88" i="22"/>
  <c r="K89" i="22"/>
  <c r="K90" i="22"/>
  <c r="K91" i="22"/>
  <c r="K92" i="22"/>
  <c r="K93" i="22"/>
  <c r="L93" i="22" s="1"/>
  <c r="L93" i="23" s="1"/>
  <c r="K94" i="22"/>
  <c r="K95" i="22"/>
  <c r="L95" i="22" s="1"/>
  <c r="L95" i="23" s="1"/>
  <c r="U95" i="23" s="1"/>
  <c r="K96" i="22"/>
  <c r="K97" i="22"/>
  <c r="K98" i="22"/>
  <c r="K99" i="22"/>
  <c r="M99" i="22" s="1"/>
  <c r="K100" i="22"/>
  <c r="K101" i="22"/>
  <c r="M101" i="22" s="1"/>
  <c r="K102" i="22"/>
  <c r="K103" i="22"/>
  <c r="K104" i="22"/>
  <c r="K105" i="22"/>
  <c r="K106" i="22"/>
  <c r="K107" i="22"/>
  <c r="L107" i="22" s="1"/>
  <c r="L107" i="23" s="1"/>
  <c r="U107" i="23" s="1"/>
  <c r="K108" i="22"/>
  <c r="K109" i="22"/>
  <c r="K110" i="22"/>
  <c r="K111" i="22"/>
  <c r="L111" i="22" s="1"/>
  <c r="L111" i="23" s="1"/>
  <c r="U111" i="23" s="1"/>
  <c r="K112" i="22"/>
  <c r="K113" i="22"/>
  <c r="K114" i="22"/>
  <c r="K115" i="22"/>
  <c r="M115" i="22" s="1"/>
  <c r="K116" i="22"/>
  <c r="K117" i="22"/>
  <c r="L117" i="22"/>
  <c r="L117" i="23" s="1"/>
  <c r="K118" i="22"/>
  <c r="K119" i="22"/>
  <c r="M119" i="22" s="1"/>
  <c r="K120" i="22"/>
  <c r="K121" i="22"/>
  <c r="K122" i="22"/>
  <c r="K123" i="22"/>
  <c r="K124" i="22"/>
  <c r="K125" i="22"/>
  <c r="K126" i="22"/>
  <c r="K127" i="22"/>
  <c r="L127" i="22" s="1"/>
  <c r="L127" i="23" s="1"/>
  <c r="U127" i="23" s="1"/>
  <c r="K128" i="22"/>
  <c r="K129" i="22"/>
  <c r="K130" i="22"/>
  <c r="K131" i="22"/>
  <c r="M131" i="22" s="1"/>
  <c r="K132" i="22"/>
  <c r="K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G17" i="22"/>
  <c r="F18" i="22"/>
  <c r="F19" i="22"/>
  <c r="F20" i="22"/>
  <c r="F21" i="22"/>
  <c r="G21" i="22"/>
  <c r="F22" i="22"/>
  <c r="F23" i="22"/>
  <c r="F24" i="22"/>
  <c r="F25" i="22"/>
  <c r="F139" i="22"/>
  <c r="F26" i="22"/>
  <c r="F27" i="22"/>
  <c r="F28" i="22"/>
  <c r="F29" i="22"/>
  <c r="F30" i="22"/>
  <c r="F31" i="22"/>
  <c r="F32" i="22"/>
  <c r="F33" i="22"/>
  <c r="G33" i="22"/>
  <c r="F34" i="22"/>
  <c r="F35" i="22"/>
  <c r="F36" i="22"/>
  <c r="F37" i="22"/>
  <c r="F38" i="22"/>
  <c r="F39" i="22"/>
  <c r="F40" i="22"/>
  <c r="F41" i="22"/>
  <c r="G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G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G93" i="22"/>
  <c r="F94" i="22"/>
  <c r="F95" i="22"/>
  <c r="F96" i="22"/>
  <c r="F97" i="22"/>
  <c r="F98" i="22"/>
  <c r="F99" i="22"/>
  <c r="F100" i="22"/>
  <c r="F101" i="22"/>
  <c r="G101" i="22"/>
  <c r="F102" i="22"/>
  <c r="F103" i="22"/>
  <c r="F104" i="22"/>
  <c r="F105" i="22"/>
  <c r="G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F127" i="22"/>
  <c r="F128" i="22"/>
  <c r="F129" i="22"/>
  <c r="G129" i="22"/>
  <c r="F130" i="22"/>
  <c r="F131" i="22"/>
  <c r="F132" i="22"/>
  <c r="F5" i="22"/>
  <c r="F6" i="18"/>
  <c r="G6" i="18"/>
  <c r="Q6" i="18" s="1"/>
  <c r="H6" i="18"/>
  <c r="I6" i="18"/>
  <c r="J6" i="18"/>
  <c r="K6" i="18"/>
  <c r="L6" i="18"/>
  <c r="M6" i="18"/>
  <c r="N6" i="18"/>
  <c r="F7" i="18"/>
  <c r="G7" i="18"/>
  <c r="H7" i="18"/>
  <c r="R7" i="18"/>
  <c r="I7" i="18"/>
  <c r="J7" i="18"/>
  <c r="K7" i="18"/>
  <c r="L7" i="18"/>
  <c r="AC7" i="18"/>
  <c r="M7" i="18"/>
  <c r="N7" i="18"/>
  <c r="F8" i="18"/>
  <c r="G8" i="18"/>
  <c r="Q8" i="18"/>
  <c r="H8" i="18"/>
  <c r="I8" i="18"/>
  <c r="J8" i="18"/>
  <c r="K8" i="18"/>
  <c r="R8" i="18"/>
  <c r="L8" i="18"/>
  <c r="M8" i="18"/>
  <c r="N8" i="18"/>
  <c r="F9" i="18"/>
  <c r="Y9" i="18" s="1"/>
  <c r="G9" i="18"/>
  <c r="H9" i="18"/>
  <c r="R9" i="18" s="1"/>
  <c r="I9" i="18"/>
  <c r="J9" i="18"/>
  <c r="K9" i="18"/>
  <c r="L9" i="18"/>
  <c r="M9" i="18"/>
  <c r="N9" i="18"/>
  <c r="F10" i="18"/>
  <c r="G10" i="18"/>
  <c r="H10" i="18"/>
  <c r="I10" i="18"/>
  <c r="J10" i="18"/>
  <c r="K10" i="18"/>
  <c r="L10" i="18"/>
  <c r="M10" i="18"/>
  <c r="N10" i="18"/>
  <c r="F11" i="18"/>
  <c r="G11" i="18"/>
  <c r="H11" i="18"/>
  <c r="R11" i="18"/>
  <c r="I11" i="18"/>
  <c r="J11" i="18"/>
  <c r="K11" i="18"/>
  <c r="L11" i="18"/>
  <c r="AC11" i="18"/>
  <c r="M11" i="18"/>
  <c r="N11" i="18"/>
  <c r="F12" i="18"/>
  <c r="G12" i="18"/>
  <c r="Q12" i="18" s="1"/>
  <c r="H12" i="18"/>
  <c r="I12" i="18"/>
  <c r="J12" i="18"/>
  <c r="K12" i="18"/>
  <c r="L12" i="18"/>
  <c r="M12" i="18"/>
  <c r="N12" i="18"/>
  <c r="F13" i="18"/>
  <c r="Y13" i="18" s="1"/>
  <c r="G13" i="18"/>
  <c r="H13" i="18"/>
  <c r="R13" i="18" s="1"/>
  <c r="I13" i="18"/>
  <c r="J13" i="18"/>
  <c r="K13" i="18"/>
  <c r="L13" i="18"/>
  <c r="M13" i="18"/>
  <c r="N13" i="18"/>
  <c r="F14" i="18"/>
  <c r="G14" i="18"/>
  <c r="H14" i="18"/>
  <c r="I14" i="18"/>
  <c r="AA14" i="18"/>
  <c r="J14" i="18"/>
  <c r="K14" i="18"/>
  <c r="L14" i="18"/>
  <c r="M14" i="18"/>
  <c r="Q14" i="18"/>
  <c r="N14" i="18"/>
  <c r="F15" i="18"/>
  <c r="G15" i="18"/>
  <c r="H15" i="18"/>
  <c r="I15" i="18"/>
  <c r="J15" i="18"/>
  <c r="K15" i="18"/>
  <c r="L15" i="18"/>
  <c r="AC15" i="18"/>
  <c r="M15" i="18"/>
  <c r="N15" i="18"/>
  <c r="F16" i="18"/>
  <c r="G16" i="18"/>
  <c r="Q16" i="18" s="1"/>
  <c r="H16" i="18"/>
  <c r="I16" i="18"/>
  <c r="J16" i="18"/>
  <c r="K16" i="18"/>
  <c r="L16" i="18"/>
  <c r="M16" i="18"/>
  <c r="N16" i="18"/>
  <c r="F17" i="18"/>
  <c r="G17" i="18"/>
  <c r="H17" i="18"/>
  <c r="I17" i="18"/>
  <c r="J17" i="18"/>
  <c r="Q17" i="18"/>
  <c r="K17" i="18"/>
  <c r="L17" i="18"/>
  <c r="M17" i="18"/>
  <c r="N17" i="18"/>
  <c r="R17" i="18"/>
  <c r="F18" i="18"/>
  <c r="G18" i="18"/>
  <c r="H18" i="18"/>
  <c r="I18" i="18"/>
  <c r="AA18" i="18"/>
  <c r="J18" i="18"/>
  <c r="K18" i="18"/>
  <c r="L18" i="18"/>
  <c r="M18" i="18"/>
  <c r="Q18" i="18"/>
  <c r="N18" i="18"/>
  <c r="F19" i="18"/>
  <c r="G19" i="18"/>
  <c r="H19" i="18"/>
  <c r="R19" i="18" s="1"/>
  <c r="I19" i="18"/>
  <c r="J19" i="18"/>
  <c r="K19" i="18"/>
  <c r="L19" i="18"/>
  <c r="AC19" i="18"/>
  <c r="M19" i="18"/>
  <c r="N19" i="18"/>
  <c r="F20" i="18"/>
  <c r="G20" i="18"/>
  <c r="Q20" i="18"/>
  <c r="H20" i="18"/>
  <c r="I20" i="18"/>
  <c r="J20" i="18"/>
  <c r="K20" i="18"/>
  <c r="L20" i="18"/>
  <c r="M20" i="18"/>
  <c r="N20" i="18"/>
  <c r="F21" i="18"/>
  <c r="Y21" i="18" s="1"/>
  <c r="G21" i="18"/>
  <c r="H21" i="18"/>
  <c r="R21" i="18" s="1"/>
  <c r="I21" i="18"/>
  <c r="J21" i="18"/>
  <c r="K21" i="18"/>
  <c r="L21" i="18"/>
  <c r="M21" i="18"/>
  <c r="N21" i="18"/>
  <c r="F22" i="18"/>
  <c r="G22" i="18"/>
  <c r="H22" i="18"/>
  <c r="I22" i="18"/>
  <c r="AA22" i="18"/>
  <c r="J22" i="18"/>
  <c r="K22" i="18"/>
  <c r="L22" i="18"/>
  <c r="M22" i="18"/>
  <c r="Q22" i="18"/>
  <c r="N22" i="18"/>
  <c r="F23" i="18"/>
  <c r="G23" i="18"/>
  <c r="H23" i="18"/>
  <c r="I23" i="18"/>
  <c r="J23" i="18"/>
  <c r="K23" i="18"/>
  <c r="L23" i="18"/>
  <c r="AC23" i="18"/>
  <c r="M23" i="18"/>
  <c r="N23" i="18"/>
  <c r="F24" i="18"/>
  <c r="G24" i="18"/>
  <c r="Q24" i="18"/>
  <c r="H24" i="18"/>
  <c r="I24" i="18"/>
  <c r="J24" i="18"/>
  <c r="K24" i="18"/>
  <c r="L24" i="18"/>
  <c r="M24" i="18"/>
  <c r="N24" i="18"/>
  <c r="F25" i="18"/>
  <c r="G25" i="18"/>
  <c r="H25" i="18"/>
  <c r="I25" i="18"/>
  <c r="J25" i="18"/>
  <c r="Q25" i="18"/>
  <c r="K25" i="18"/>
  <c r="L25" i="18"/>
  <c r="M25" i="18"/>
  <c r="N25" i="18"/>
  <c r="R25" i="18"/>
  <c r="F26" i="18"/>
  <c r="G26" i="18"/>
  <c r="H26" i="18"/>
  <c r="I26" i="18"/>
  <c r="AA26" i="18"/>
  <c r="J26" i="18"/>
  <c r="K26" i="18"/>
  <c r="L26" i="18"/>
  <c r="M26" i="18"/>
  <c r="N26" i="18"/>
  <c r="F27" i="18"/>
  <c r="G27" i="18"/>
  <c r="H27" i="18"/>
  <c r="R27" i="18" s="1"/>
  <c r="I27" i="18"/>
  <c r="J27" i="18"/>
  <c r="K27" i="18"/>
  <c r="L27" i="18"/>
  <c r="AC27" i="18"/>
  <c r="M27" i="18"/>
  <c r="N27" i="18"/>
  <c r="F28" i="18"/>
  <c r="G28" i="18"/>
  <c r="Q28" i="18" s="1"/>
  <c r="H28" i="18"/>
  <c r="I28" i="18"/>
  <c r="J28" i="18"/>
  <c r="K28" i="18"/>
  <c r="L28" i="18"/>
  <c r="M28" i="18"/>
  <c r="N28" i="18"/>
  <c r="F29" i="18"/>
  <c r="G29" i="18"/>
  <c r="H29" i="18"/>
  <c r="I29" i="18"/>
  <c r="J29" i="18"/>
  <c r="Q29" i="18"/>
  <c r="K29" i="18"/>
  <c r="L29" i="18"/>
  <c r="M29" i="18"/>
  <c r="N29" i="18"/>
  <c r="R29" i="18"/>
  <c r="F30" i="18"/>
  <c r="G30" i="18"/>
  <c r="H30" i="18"/>
  <c r="I30" i="18"/>
  <c r="J30" i="18"/>
  <c r="K30" i="18"/>
  <c r="L30" i="18"/>
  <c r="M30" i="18"/>
  <c r="N30" i="18"/>
  <c r="F31" i="18"/>
  <c r="G31" i="18"/>
  <c r="H31" i="18"/>
  <c r="R31" i="18"/>
  <c r="I31" i="18"/>
  <c r="J31" i="18"/>
  <c r="K31" i="18"/>
  <c r="L31" i="18"/>
  <c r="AC31" i="18"/>
  <c r="M31" i="18"/>
  <c r="N31" i="18"/>
  <c r="F32" i="18"/>
  <c r="G32" i="18"/>
  <c r="Q32" i="18" s="1"/>
  <c r="H32" i="18"/>
  <c r="I32" i="18"/>
  <c r="J32" i="18"/>
  <c r="K32" i="18"/>
  <c r="L32" i="18"/>
  <c r="M32" i="18"/>
  <c r="N32" i="18"/>
  <c r="F33" i="18"/>
  <c r="Y33" i="18" s="1"/>
  <c r="G33" i="18"/>
  <c r="H33" i="18"/>
  <c r="R33" i="18" s="1"/>
  <c r="I33" i="18"/>
  <c r="J33" i="18"/>
  <c r="K33" i="18"/>
  <c r="L33" i="18"/>
  <c r="M33" i="18"/>
  <c r="N33" i="18"/>
  <c r="F34" i="18"/>
  <c r="G34" i="18"/>
  <c r="H34" i="18"/>
  <c r="I34" i="18"/>
  <c r="AA34" i="18"/>
  <c r="J34" i="18"/>
  <c r="K34" i="18"/>
  <c r="L34" i="18"/>
  <c r="M34" i="18"/>
  <c r="Q34" i="18"/>
  <c r="N34" i="18"/>
  <c r="F35" i="18"/>
  <c r="G35" i="18"/>
  <c r="H35" i="18"/>
  <c r="I35" i="18"/>
  <c r="J35" i="18"/>
  <c r="K35" i="18"/>
  <c r="L35" i="18"/>
  <c r="AC35" i="18"/>
  <c r="M35" i="18"/>
  <c r="N35" i="18"/>
  <c r="F36" i="18"/>
  <c r="G36" i="18"/>
  <c r="Q36" i="18" s="1"/>
  <c r="H36" i="18"/>
  <c r="I36" i="18"/>
  <c r="J36" i="18"/>
  <c r="K36" i="18"/>
  <c r="L36" i="18"/>
  <c r="M36" i="18"/>
  <c r="N36" i="18"/>
  <c r="F37" i="18"/>
  <c r="G37" i="18"/>
  <c r="H37" i="18"/>
  <c r="I37" i="18"/>
  <c r="J37" i="18"/>
  <c r="Q37" i="18"/>
  <c r="K37" i="18"/>
  <c r="L37" i="18"/>
  <c r="M37" i="18"/>
  <c r="N37" i="18"/>
  <c r="R37" i="18"/>
  <c r="F38" i="18"/>
  <c r="G38" i="18"/>
  <c r="H38" i="18"/>
  <c r="I38" i="18"/>
  <c r="P38" i="18"/>
  <c r="U38" i="18" s="1"/>
  <c r="J38" i="18"/>
  <c r="K38" i="18"/>
  <c r="L38" i="18"/>
  <c r="M38" i="18"/>
  <c r="N38" i="18"/>
  <c r="F39" i="18"/>
  <c r="G39" i="18"/>
  <c r="H39" i="18"/>
  <c r="I39" i="18"/>
  <c r="J39" i="18"/>
  <c r="K39" i="18"/>
  <c r="L39" i="18"/>
  <c r="P39" i="18"/>
  <c r="U39" i="18" s="1"/>
  <c r="M39" i="18"/>
  <c r="N39" i="18"/>
  <c r="F40" i="18"/>
  <c r="G40" i="18"/>
  <c r="Q40" i="18" s="1"/>
  <c r="H40" i="18"/>
  <c r="I40" i="18"/>
  <c r="J40" i="18"/>
  <c r="K40" i="18"/>
  <c r="R40" i="18"/>
  <c r="L40" i="18"/>
  <c r="M40" i="18"/>
  <c r="N40" i="18"/>
  <c r="F41" i="18"/>
  <c r="G41" i="18"/>
  <c r="H41" i="18"/>
  <c r="R41" i="18" s="1"/>
  <c r="I41" i="18"/>
  <c r="J41" i="18"/>
  <c r="K41" i="18"/>
  <c r="L41" i="18"/>
  <c r="M41" i="18"/>
  <c r="N41" i="18"/>
  <c r="F42" i="18"/>
  <c r="G42" i="18"/>
  <c r="H42" i="18"/>
  <c r="I42" i="18"/>
  <c r="AA42" i="18"/>
  <c r="J42" i="18"/>
  <c r="K42" i="18"/>
  <c r="L42" i="18"/>
  <c r="M42" i="18"/>
  <c r="Q42" i="18"/>
  <c r="N42" i="18"/>
  <c r="F43" i="18"/>
  <c r="G43" i="18"/>
  <c r="H43" i="18"/>
  <c r="I43" i="18"/>
  <c r="J43" i="18"/>
  <c r="K43" i="18"/>
  <c r="L43" i="18"/>
  <c r="M43" i="18"/>
  <c r="N43" i="18"/>
  <c r="F44" i="18"/>
  <c r="G44" i="18"/>
  <c r="Q44" i="18" s="1"/>
  <c r="H44" i="18"/>
  <c r="I44" i="18"/>
  <c r="J44" i="18"/>
  <c r="K44" i="18"/>
  <c r="R44" i="18"/>
  <c r="L44" i="18"/>
  <c r="M44" i="18"/>
  <c r="N44" i="18"/>
  <c r="F45" i="18"/>
  <c r="G45" i="18"/>
  <c r="H45" i="18"/>
  <c r="I45" i="18"/>
  <c r="J45" i="18"/>
  <c r="Q45" i="18"/>
  <c r="K45" i="18"/>
  <c r="L45" i="18"/>
  <c r="M45" i="18"/>
  <c r="N45" i="18"/>
  <c r="F46" i="18"/>
  <c r="G46" i="18"/>
  <c r="H46" i="18"/>
  <c r="I46" i="18"/>
  <c r="AA46" i="18"/>
  <c r="J46" i="18"/>
  <c r="K46" i="18"/>
  <c r="L46" i="18"/>
  <c r="M46" i="18"/>
  <c r="Q46" i="18"/>
  <c r="N46" i="18"/>
  <c r="F47" i="18"/>
  <c r="G47" i="18"/>
  <c r="H47" i="18"/>
  <c r="R47" i="18" s="1"/>
  <c r="I47" i="18"/>
  <c r="J47" i="18"/>
  <c r="K47" i="18"/>
  <c r="L47" i="18"/>
  <c r="M47" i="18"/>
  <c r="N47" i="18"/>
  <c r="F48" i="18"/>
  <c r="G48" i="18"/>
  <c r="Q48" i="18" s="1"/>
  <c r="H48" i="18"/>
  <c r="I48" i="18"/>
  <c r="J48" i="18"/>
  <c r="K48" i="18"/>
  <c r="L48" i="18"/>
  <c r="M48" i="18"/>
  <c r="N48" i="18"/>
  <c r="F49" i="18"/>
  <c r="G49" i="18"/>
  <c r="H49" i="18"/>
  <c r="I49" i="18"/>
  <c r="J49" i="18"/>
  <c r="K49" i="18"/>
  <c r="L49" i="18"/>
  <c r="M49" i="18"/>
  <c r="N49" i="18"/>
  <c r="F50" i="18"/>
  <c r="G50" i="18"/>
  <c r="H50" i="18"/>
  <c r="I50" i="18"/>
  <c r="AA50" i="18"/>
  <c r="J50" i="18"/>
  <c r="K50" i="18"/>
  <c r="L50" i="18"/>
  <c r="M50" i="18"/>
  <c r="Q50" i="18"/>
  <c r="N50" i="18"/>
  <c r="F51" i="18"/>
  <c r="G51" i="18"/>
  <c r="H51" i="18"/>
  <c r="R51" i="18" s="1"/>
  <c r="I51" i="18"/>
  <c r="J51" i="18"/>
  <c r="K51" i="18"/>
  <c r="L51" i="18"/>
  <c r="M51" i="18"/>
  <c r="N51" i="18"/>
  <c r="F52" i="18"/>
  <c r="G52" i="18"/>
  <c r="Q52" i="18" s="1"/>
  <c r="H52" i="18"/>
  <c r="I52" i="18"/>
  <c r="J52" i="18"/>
  <c r="K52" i="18"/>
  <c r="R52" i="18"/>
  <c r="L52" i="18"/>
  <c r="M52" i="18"/>
  <c r="N52" i="18"/>
  <c r="F53" i="18"/>
  <c r="G53" i="18"/>
  <c r="H53" i="18"/>
  <c r="I53" i="18"/>
  <c r="J53" i="18"/>
  <c r="Q53" i="18"/>
  <c r="K53" i="18"/>
  <c r="L53" i="18"/>
  <c r="M53" i="18"/>
  <c r="N53" i="18"/>
  <c r="R53" i="18"/>
  <c r="F54" i="18"/>
  <c r="G54" i="18"/>
  <c r="H54" i="18"/>
  <c r="I54" i="18"/>
  <c r="AA54" i="18"/>
  <c r="J54" i="18"/>
  <c r="K54" i="18"/>
  <c r="L54" i="18"/>
  <c r="M54" i="18"/>
  <c r="N54" i="18"/>
  <c r="F55" i="18"/>
  <c r="G55" i="18"/>
  <c r="H55" i="18"/>
  <c r="R55" i="18"/>
  <c r="I55" i="18"/>
  <c r="J55" i="18"/>
  <c r="K55" i="18"/>
  <c r="L55" i="18"/>
  <c r="M55" i="18"/>
  <c r="N55" i="18"/>
  <c r="F56" i="18"/>
  <c r="G56" i="18"/>
  <c r="H56" i="18"/>
  <c r="I56" i="18"/>
  <c r="J56" i="18"/>
  <c r="K56" i="18"/>
  <c r="R56" i="18"/>
  <c r="L56" i="18"/>
  <c r="M56" i="18"/>
  <c r="N56" i="18"/>
  <c r="F57" i="18"/>
  <c r="G57" i="18"/>
  <c r="H57" i="18"/>
  <c r="R57" i="18" s="1"/>
  <c r="I57" i="18"/>
  <c r="J57" i="18"/>
  <c r="K57" i="18"/>
  <c r="L57" i="18"/>
  <c r="M57" i="18"/>
  <c r="N57" i="18"/>
  <c r="F58" i="18"/>
  <c r="G58" i="18"/>
  <c r="H58" i="18"/>
  <c r="I58" i="18"/>
  <c r="AA58" i="18"/>
  <c r="J58" i="18"/>
  <c r="K58" i="18"/>
  <c r="L58" i="18"/>
  <c r="M58" i="18"/>
  <c r="N58" i="18"/>
  <c r="F59" i="18"/>
  <c r="G59" i="18"/>
  <c r="H59" i="18"/>
  <c r="R59" i="18"/>
  <c r="I59" i="18"/>
  <c r="J59" i="18"/>
  <c r="K59" i="18"/>
  <c r="L59" i="18"/>
  <c r="M59" i="18"/>
  <c r="N59" i="18"/>
  <c r="F60" i="18"/>
  <c r="G60" i="18"/>
  <c r="Q60" i="18" s="1"/>
  <c r="S60" i="18" s="1"/>
  <c r="W60" i="23" s="1"/>
  <c r="H60" i="18"/>
  <c r="I60" i="18"/>
  <c r="J60" i="18"/>
  <c r="K60" i="18"/>
  <c r="R60" i="18"/>
  <c r="L60" i="18"/>
  <c r="M60" i="18"/>
  <c r="N60" i="18"/>
  <c r="F61" i="18"/>
  <c r="P61" i="18" s="1"/>
  <c r="G61" i="18"/>
  <c r="H61" i="18"/>
  <c r="I61" i="18"/>
  <c r="J61" i="18"/>
  <c r="Q61" i="18"/>
  <c r="K61" i="18"/>
  <c r="L61" i="18"/>
  <c r="M61" i="18"/>
  <c r="N61" i="18"/>
  <c r="R61" i="18"/>
  <c r="F62" i="18"/>
  <c r="G62" i="18"/>
  <c r="H62" i="18"/>
  <c r="I62" i="18"/>
  <c r="AA62" i="18"/>
  <c r="J62" i="18"/>
  <c r="K62" i="18"/>
  <c r="L62" i="18"/>
  <c r="M62" i="18"/>
  <c r="N62" i="18"/>
  <c r="F63" i="18"/>
  <c r="G63" i="18"/>
  <c r="H63" i="18"/>
  <c r="R63" i="18" s="1"/>
  <c r="I63" i="18"/>
  <c r="J63" i="18"/>
  <c r="K63" i="18"/>
  <c r="L63" i="18"/>
  <c r="M63" i="18"/>
  <c r="N63" i="18"/>
  <c r="F64" i="18"/>
  <c r="G64" i="18"/>
  <c r="Q64" i="18" s="1"/>
  <c r="H64" i="18"/>
  <c r="I64" i="18"/>
  <c r="J64" i="18"/>
  <c r="K64" i="18"/>
  <c r="R64" i="18"/>
  <c r="L64" i="18"/>
  <c r="M64" i="18"/>
  <c r="N64" i="18"/>
  <c r="F65" i="18"/>
  <c r="Y65" i="18" s="1"/>
  <c r="G65" i="18"/>
  <c r="H65" i="18"/>
  <c r="I65" i="18"/>
  <c r="J65" i="18"/>
  <c r="Q65" i="18"/>
  <c r="K65" i="18"/>
  <c r="L65" i="18"/>
  <c r="M65" i="18"/>
  <c r="N65" i="18"/>
  <c r="F66" i="18"/>
  <c r="G66" i="18"/>
  <c r="H66" i="18"/>
  <c r="I66" i="18"/>
  <c r="AA66" i="18"/>
  <c r="J66" i="18"/>
  <c r="K66" i="18"/>
  <c r="L66" i="18"/>
  <c r="M66" i="18"/>
  <c r="Q66" i="18"/>
  <c r="N66" i="18"/>
  <c r="F67" i="18"/>
  <c r="G67" i="18"/>
  <c r="H67" i="18"/>
  <c r="R67" i="18" s="1"/>
  <c r="I67" i="18"/>
  <c r="J67" i="18"/>
  <c r="K67" i="18"/>
  <c r="L67" i="18"/>
  <c r="M67" i="18"/>
  <c r="N67" i="18"/>
  <c r="F68" i="18"/>
  <c r="G68" i="18"/>
  <c r="Q68" i="18" s="1"/>
  <c r="H68" i="18"/>
  <c r="I68" i="18"/>
  <c r="J68" i="18"/>
  <c r="K68" i="18"/>
  <c r="R68" i="18"/>
  <c r="L68" i="18"/>
  <c r="M68" i="18"/>
  <c r="N68" i="18"/>
  <c r="F69" i="18"/>
  <c r="G69" i="18"/>
  <c r="H69" i="18"/>
  <c r="I69" i="18"/>
  <c r="J69" i="18"/>
  <c r="K69" i="18"/>
  <c r="L69" i="18"/>
  <c r="M69" i="18"/>
  <c r="N69" i="18"/>
  <c r="R69" i="18"/>
  <c r="F70" i="18"/>
  <c r="G70" i="18"/>
  <c r="H70" i="18"/>
  <c r="I70" i="18"/>
  <c r="AA70" i="18"/>
  <c r="J70" i="18"/>
  <c r="K70" i="18"/>
  <c r="L70" i="18"/>
  <c r="M70" i="18"/>
  <c r="Q70" i="18"/>
  <c r="N70" i="18"/>
  <c r="F71" i="18"/>
  <c r="G71" i="18"/>
  <c r="H71" i="18"/>
  <c r="R71" i="18" s="1"/>
  <c r="I71" i="18"/>
  <c r="J71" i="18"/>
  <c r="K71" i="18"/>
  <c r="L71" i="18"/>
  <c r="M71" i="18"/>
  <c r="N71" i="18"/>
  <c r="F72" i="18"/>
  <c r="G72" i="18"/>
  <c r="Q72" i="18" s="1"/>
  <c r="H72" i="18"/>
  <c r="I72" i="18"/>
  <c r="J72" i="18"/>
  <c r="K72" i="18"/>
  <c r="R72" i="18"/>
  <c r="L72" i="18"/>
  <c r="M72" i="18"/>
  <c r="N72" i="18"/>
  <c r="F73" i="18"/>
  <c r="G73" i="18"/>
  <c r="H73" i="18"/>
  <c r="I73" i="18"/>
  <c r="J73" i="18"/>
  <c r="K73" i="18"/>
  <c r="L73" i="18"/>
  <c r="M73" i="18"/>
  <c r="N73" i="18"/>
  <c r="F74" i="18"/>
  <c r="G74" i="18"/>
  <c r="H74" i="18"/>
  <c r="I74" i="18"/>
  <c r="P74" i="18"/>
  <c r="U74" i="18" s="1"/>
  <c r="J74" i="18"/>
  <c r="K74" i="18"/>
  <c r="L74" i="18"/>
  <c r="M74" i="18"/>
  <c r="Q74" i="18"/>
  <c r="N74" i="18"/>
  <c r="F75" i="18"/>
  <c r="G75" i="18"/>
  <c r="H75" i="18"/>
  <c r="R75" i="18" s="1"/>
  <c r="I75" i="18"/>
  <c r="J75" i="18"/>
  <c r="K75" i="18"/>
  <c r="L75" i="18"/>
  <c r="AC75" i="18"/>
  <c r="M75" i="18"/>
  <c r="N75" i="18"/>
  <c r="F76" i="18"/>
  <c r="G76" i="18"/>
  <c r="Q76" i="18" s="1"/>
  <c r="H76" i="18"/>
  <c r="I76" i="18"/>
  <c r="J76" i="18"/>
  <c r="K76" i="18"/>
  <c r="R76" i="18"/>
  <c r="L76" i="18"/>
  <c r="M76" i="18"/>
  <c r="N76" i="18"/>
  <c r="F77" i="18"/>
  <c r="Y77" i="18" s="1"/>
  <c r="G77" i="18"/>
  <c r="H77" i="18"/>
  <c r="R77" i="18" s="1"/>
  <c r="I77" i="18"/>
  <c r="J77" i="18"/>
  <c r="K77" i="18"/>
  <c r="L77" i="18"/>
  <c r="M77" i="18"/>
  <c r="N77" i="18"/>
  <c r="F78" i="18"/>
  <c r="G78" i="18"/>
  <c r="H78" i="18"/>
  <c r="I78" i="18"/>
  <c r="J78" i="18"/>
  <c r="K78" i="18"/>
  <c r="L78" i="18"/>
  <c r="M78" i="18"/>
  <c r="Q78" i="18"/>
  <c r="N78" i="18"/>
  <c r="F79" i="18"/>
  <c r="G79" i="18"/>
  <c r="H79" i="18"/>
  <c r="R79" i="18" s="1"/>
  <c r="I79" i="18"/>
  <c r="J79" i="18"/>
  <c r="K79" i="18"/>
  <c r="L79" i="18"/>
  <c r="AC79" i="18"/>
  <c r="M79" i="18"/>
  <c r="N79" i="18"/>
  <c r="F80" i="18"/>
  <c r="G80" i="18"/>
  <c r="H80" i="18"/>
  <c r="I80" i="18"/>
  <c r="J80" i="18"/>
  <c r="K80" i="18"/>
  <c r="R80" i="18"/>
  <c r="L80" i="18"/>
  <c r="M80" i="18"/>
  <c r="N80" i="18"/>
  <c r="F81" i="18"/>
  <c r="P81" i="18"/>
  <c r="U81" i="18" s="1"/>
  <c r="G81" i="18"/>
  <c r="H81" i="18"/>
  <c r="I81" i="18"/>
  <c r="J81" i="18"/>
  <c r="Q81" i="18"/>
  <c r="K81" i="18"/>
  <c r="L81" i="18"/>
  <c r="M81" i="18"/>
  <c r="N81" i="18"/>
  <c r="F82" i="18"/>
  <c r="G82" i="18"/>
  <c r="Q82" i="18" s="1"/>
  <c r="S82" i="18" s="1"/>
  <c r="W82" i="23" s="1"/>
  <c r="H82" i="18"/>
  <c r="I82" i="18"/>
  <c r="J82" i="18"/>
  <c r="K82" i="18"/>
  <c r="L82" i="18"/>
  <c r="M82" i="18"/>
  <c r="N82" i="18"/>
  <c r="F83" i="18"/>
  <c r="G83" i="18"/>
  <c r="H83" i="18"/>
  <c r="R83" i="18" s="1"/>
  <c r="I83" i="18"/>
  <c r="J83" i="18"/>
  <c r="K83" i="18"/>
  <c r="L83" i="18"/>
  <c r="M83" i="18"/>
  <c r="N83" i="18"/>
  <c r="F84" i="18"/>
  <c r="G84" i="18"/>
  <c r="H84" i="18"/>
  <c r="I84" i="18"/>
  <c r="J84" i="18"/>
  <c r="K84" i="18"/>
  <c r="R84" i="18"/>
  <c r="L84" i="18"/>
  <c r="M84" i="18"/>
  <c r="N84" i="18"/>
  <c r="F85" i="18"/>
  <c r="G85" i="18"/>
  <c r="H85" i="18"/>
  <c r="I85" i="18"/>
  <c r="J85" i="18"/>
  <c r="Q85" i="18"/>
  <c r="K85" i="18"/>
  <c r="L85" i="18"/>
  <c r="M85" i="18"/>
  <c r="N85" i="18"/>
  <c r="R85" i="18"/>
  <c r="F86" i="18"/>
  <c r="G86" i="18"/>
  <c r="Q86" i="18" s="1"/>
  <c r="H86" i="18"/>
  <c r="I86" i="18"/>
  <c r="J86" i="18"/>
  <c r="K86" i="18"/>
  <c r="L86" i="18"/>
  <c r="M86" i="18"/>
  <c r="N86" i="18"/>
  <c r="F87" i="18"/>
  <c r="G87" i="18"/>
  <c r="H87" i="18"/>
  <c r="R87" i="18" s="1"/>
  <c r="I87" i="18"/>
  <c r="J87" i="18"/>
  <c r="K87" i="18"/>
  <c r="L87" i="18"/>
  <c r="M87" i="18"/>
  <c r="N87" i="18"/>
  <c r="F88" i="18"/>
  <c r="G88" i="18"/>
  <c r="Q88" i="18" s="1"/>
  <c r="S88" i="18" s="1"/>
  <c r="W88" i="23" s="1"/>
  <c r="H88" i="18"/>
  <c r="I88" i="18"/>
  <c r="J88" i="18"/>
  <c r="K88" i="18"/>
  <c r="R88" i="18"/>
  <c r="L88" i="18"/>
  <c r="M88" i="18"/>
  <c r="N88" i="18"/>
  <c r="F89" i="18"/>
  <c r="P89" i="18" s="1"/>
  <c r="G89" i="18"/>
  <c r="H89" i="18"/>
  <c r="R89" i="18" s="1"/>
  <c r="I89" i="18"/>
  <c r="J89" i="18"/>
  <c r="K89" i="18"/>
  <c r="L89" i="18"/>
  <c r="M89" i="18"/>
  <c r="N89" i="18"/>
  <c r="F90" i="18"/>
  <c r="G90" i="18"/>
  <c r="H90" i="18"/>
  <c r="I90" i="18"/>
  <c r="P90" i="18"/>
  <c r="U90" i="18" s="1"/>
  <c r="J90" i="18"/>
  <c r="K90" i="18"/>
  <c r="L90" i="18"/>
  <c r="M90" i="18"/>
  <c r="Q90" i="18"/>
  <c r="N90" i="18"/>
  <c r="F91" i="18"/>
  <c r="G91" i="18"/>
  <c r="H91" i="18"/>
  <c r="R91" i="18" s="1"/>
  <c r="I91" i="18"/>
  <c r="J91" i="18"/>
  <c r="K91" i="18"/>
  <c r="L91" i="18"/>
  <c r="M91" i="18"/>
  <c r="N91" i="18"/>
  <c r="F92" i="18"/>
  <c r="G92" i="18"/>
  <c r="H92" i="18"/>
  <c r="I92" i="18"/>
  <c r="J92" i="18"/>
  <c r="K92" i="18"/>
  <c r="R92" i="18"/>
  <c r="L92" i="18"/>
  <c r="M92" i="18"/>
  <c r="N92" i="18"/>
  <c r="F93" i="18"/>
  <c r="G93" i="18"/>
  <c r="H93" i="18"/>
  <c r="I93" i="18"/>
  <c r="J93" i="18"/>
  <c r="K93" i="18"/>
  <c r="L93" i="18"/>
  <c r="M93" i="18"/>
  <c r="N93" i="18"/>
  <c r="F94" i="18"/>
  <c r="G94" i="18"/>
  <c r="H94" i="18"/>
  <c r="I94" i="18"/>
  <c r="J94" i="18"/>
  <c r="K94" i="18"/>
  <c r="L94" i="18"/>
  <c r="M94" i="18"/>
  <c r="Q94" i="18"/>
  <c r="N94" i="18"/>
  <c r="F95" i="18"/>
  <c r="G95" i="18"/>
  <c r="H95" i="18"/>
  <c r="R95" i="18" s="1"/>
  <c r="I95" i="18"/>
  <c r="J95" i="18"/>
  <c r="K95" i="18"/>
  <c r="L95" i="18"/>
  <c r="M95" i="18"/>
  <c r="N95" i="18"/>
  <c r="F96" i="18"/>
  <c r="G96" i="18"/>
  <c r="H96" i="18"/>
  <c r="I96" i="18"/>
  <c r="J96" i="18"/>
  <c r="K96" i="18"/>
  <c r="R96" i="18"/>
  <c r="L96" i="18"/>
  <c r="M96" i="18"/>
  <c r="N96" i="18"/>
  <c r="F97" i="18"/>
  <c r="Y97" i="18" s="1"/>
  <c r="Z97" i="18" s="1"/>
  <c r="G97" i="18"/>
  <c r="H97" i="18"/>
  <c r="I97" i="18"/>
  <c r="J97" i="18"/>
  <c r="Q97" i="18"/>
  <c r="K97" i="18"/>
  <c r="L97" i="18"/>
  <c r="M97" i="18"/>
  <c r="N97" i="18"/>
  <c r="F98" i="18"/>
  <c r="G98" i="18"/>
  <c r="H98" i="18"/>
  <c r="I98" i="18"/>
  <c r="AA98" i="18"/>
  <c r="J98" i="18"/>
  <c r="K98" i="18"/>
  <c r="L98" i="18"/>
  <c r="M98" i="18"/>
  <c r="Q98" i="18"/>
  <c r="N98" i="18"/>
  <c r="F99" i="18"/>
  <c r="G99" i="18"/>
  <c r="H99" i="18"/>
  <c r="R99" i="18" s="1"/>
  <c r="I99" i="18"/>
  <c r="J99" i="18"/>
  <c r="K99" i="18"/>
  <c r="L99" i="18"/>
  <c r="AC99" i="18"/>
  <c r="M99" i="18"/>
  <c r="N99" i="18"/>
  <c r="F100" i="18"/>
  <c r="G100" i="18"/>
  <c r="H100" i="18"/>
  <c r="I100" i="18"/>
  <c r="J100" i="18"/>
  <c r="K100" i="18"/>
  <c r="R100" i="18"/>
  <c r="L100" i="18"/>
  <c r="M100" i="18"/>
  <c r="N100" i="18"/>
  <c r="F101" i="18"/>
  <c r="G101" i="18"/>
  <c r="H101" i="18"/>
  <c r="I101" i="18"/>
  <c r="J101" i="18"/>
  <c r="Q101" i="18"/>
  <c r="K101" i="18"/>
  <c r="L101" i="18"/>
  <c r="M101" i="18"/>
  <c r="N101" i="18"/>
  <c r="R101" i="18"/>
  <c r="F102" i="18"/>
  <c r="G102" i="18"/>
  <c r="H102" i="18"/>
  <c r="I102" i="18"/>
  <c r="AA102" i="18"/>
  <c r="J102" i="18"/>
  <c r="K102" i="18"/>
  <c r="L102" i="18"/>
  <c r="M102" i="18"/>
  <c r="Q102" i="18"/>
  <c r="N102" i="18"/>
  <c r="F103" i="18"/>
  <c r="G103" i="18"/>
  <c r="H103" i="18"/>
  <c r="R103" i="18" s="1"/>
  <c r="R137" i="18" s="1"/>
  <c r="I103" i="18"/>
  <c r="J103" i="18"/>
  <c r="K103" i="18"/>
  <c r="L103" i="18"/>
  <c r="P103" i="18"/>
  <c r="U103" i="18" s="1"/>
  <c r="M103" i="18"/>
  <c r="N103" i="18"/>
  <c r="F104" i="18"/>
  <c r="G104" i="18"/>
  <c r="H104" i="18"/>
  <c r="I104" i="18"/>
  <c r="J104" i="18"/>
  <c r="K104" i="18"/>
  <c r="R104" i="18"/>
  <c r="L104" i="18"/>
  <c r="M104" i="18"/>
  <c r="N104" i="18"/>
  <c r="F105" i="18"/>
  <c r="G105" i="18"/>
  <c r="H105" i="18"/>
  <c r="I105" i="18"/>
  <c r="J105" i="18"/>
  <c r="Q105" i="18"/>
  <c r="K105" i="18"/>
  <c r="L105" i="18"/>
  <c r="M105" i="18"/>
  <c r="N105" i="18"/>
  <c r="F106" i="18"/>
  <c r="G106" i="18"/>
  <c r="Q106" i="18" s="1"/>
  <c r="H106" i="18"/>
  <c r="I106" i="18"/>
  <c r="J106" i="18"/>
  <c r="K106" i="18"/>
  <c r="L106" i="18"/>
  <c r="M106" i="18"/>
  <c r="N106" i="18"/>
  <c r="F107" i="18"/>
  <c r="G107" i="18"/>
  <c r="H107" i="18"/>
  <c r="R107" i="18" s="1"/>
  <c r="I107" i="18"/>
  <c r="J107" i="18"/>
  <c r="K107" i="18"/>
  <c r="L107" i="18"/>
  <c r="AC107" i="18"/>
  <c r="M107" i="18"/>
  <c r="N107" i="18"/>
  <c r="F108" i="18"/>
  <c r="G108" i="18"/>
  <c r="H108" i="18"/>
  <c r="I108" i="18"/>
  <c r="J108" i="18"/>
  <c r="K108" i="18"/>
  <c r="L108" i="18"/>
  <c r="M108" i="18"/>
  <c r="N108" i="18"/>
  <c r="F109" i="18"/>
  <c r="G109" i="18"/>
  <c r="H109" i="18"/>
  <c r="I109" i="18"/>
  <c r="J109" i="18"/>
  <c r="Q109" i="18"/>
  <c r="K109" i="18"/>
  <c r="L109" i="18"/>
  <c r="M109" i="18"/>
  <c r="N109" i="18"/>
  <c r="F110" i="18"/>
  <c r="G110" i="18"/>
  <c r="Q110" i="18" s="1"/>
  <c r="H110" i="18"/>
  <c r="I110" i="18"/>
  <c r="J110" i="18"/>
  <c r="K110" i="18"/>
  <c r="L110" i="18"/>
  <c r="M110" i="18"/>
  <c r="N110" i="18"/>
  <c r="F111" i="18"/>
  <c r="G111" i="18"/>
  <c r="H111" i="18"/>
  <c r="I111" i="18"/>
  <c r="J111" i="18"/>
  <c r="K111" i="18"/>
  <c r="L111" i="18"/>
  <c r="AC111" i="18"/>
  <c r="M111" i="18"/>
  <c r="N111" i="18"/>
  <c r="F112" i="18"/>
  <c r="G112" i="18"/>
  <c r="H112" i="18"/>
  <c r="I112" i="18"/>
  <c r="J112" i="18"/>
  <c r="K112" i="18"/>
  <c r="L112" i="18"/>
  <c r="M112" i="18"/>
  <c r="N112" i="18"/>
  <c r="F113" i="18"/>
  <c r="Y113" i="18" s="1"/>
  <c r="G113" i="18"/>
  <c r="H113" i="18"/>
  <c r="I113" i="18"/>
  <c r="J113" i="18"/>
  <c r="Q113" i="18"/>
  <c r="K113" i="18"/>
  <c r="L113" i="18"/>
  <c r="M113" i="18"/>
  <c r="N113" i="18"/>
  <c r="F114" i="18"/>
  <c r="G114" i="18"/>
  <c r="H114" i="18"/>
  <c r="I114" i="18"/>
  <c r="AA114" i="18"/>
  <c r="J114" i="18"/>
  <c r="K114" i="18"/>
  <c r="L114" i="18"/>
  <c r="M114" i="18"/>
  <c r="Q114" i="18"/>
  <c r="N114" i="18"/>
  <c r="F115" i="18"/>
  <c r="G115" i="18"/>
  <c r="H115" i="18"/>
  <c r="R115" i="18" s="1"/>
  <c r="I115" i="18"/>
  <c r="J115" i="18"/>
  <c r="K115" i="18"/>
  <c r="L115" i="18"/>
  <c r="AC115" i="18"/>
  <c r="M115" i="18"/>
  <c r="N115" i="18"/>
  <c r="F116" i="18"/>
  <c r="G116" i="18"/>
  <c r="Q116" i="18" s="1"/>
  <c r="S116" i="18" s="1"/>
  <c r="H116" i="18"/>
  <c r="I116" i="18"/>
  <c r="J116" i="18"/>
  <c r="K116" i="18"/>
  <c r="R116" i="18"/>
  <c r="L116" i="18"/>
  <c r="M116" i="18"/>
  <c r="N116" i="18"/>
  <c r="F117" i="18"/>
  <c r="G117" i="18"/>
  <c r="H117" i="18"/>
  <c r="I117" i="18"/>
  <c r="J117" i="18"/>
  <c r="Q117" i="18"/>
  <c r="K117" i="18"/>
  <c r="L117" i="18"/>
  <c r="M117" i="18"/>
  <c r="N117" i="18"/>
  <c r="R117" i="18"/>
  <c r="F118" i="18"/>
  <c r="G118" i="18"/>
  <c r="H118" i="18"/>
  <c r="I118" i="18"/>
  <c r="P118" i="18"/>
  <c r="U118" i="18" s="1"/>
  <c r="J118" i="18"/>
  <c r="K118" i="18"/>
  <c r="L118" i="18"/>
  <c r="M118" i="18"/>
  <c r="Q118" i="18"/>
  <c r="S118" i="18" s="1"/>
  <c r="N118" i="18"/>
  <c r="F119" i="18"/>
  <c r="G119" i="18"/>
  <c r="H119" i="18"/>
  <c r="R119" i="18"/>
  <c r="I119" i="18"/>
  <c r="J119" i="18"/>
  <c r="K119" i="18"/>
  <c r="L119" i="18"/>
  <c r="M119" i="18"/>
  <c r="N119" i="18"/>
  <c r="F120" i="18"/>
  <c r="G120" i="18"/>
  <c r="Q120" i="18"/>
  <c r="H120" i="18"/>
  <c r="I120" i="18"/>
  <c r="J120" i="18"/>
  <c r="K120" i="18"/>
  <c r="R120" i="18"/>
  <c r="L120" i="18"/>
  <c r="M120" i="18"/>
  <c r="N120" i="18"/>
  <c r="F121" i="18"/>
  <c r="G121" i="18"/>
  <c r="H121" i="18"/>
  <c r="R121" i="18" s="1"/>
  <c r="I121" i="18"/>
  <c r="J121" i="18"/>
  <c r="K121" i="18"/>
  <c r="L121" i="18"/>
  <c r="M121" i="18"/>
  <c r="N121" i="18"/>
  <c r="F122" i="18"/>
  <c r="G122" i="18"/>
  <c r="Q122" i="18" s="1"/>
  <c r="H122" i="18"/>
  <c r="I122" i="18"/>
  <c r="J122" i="18"/>
  <c r="K122" i="18"/>
  <c r="L122" i="18"/>
  <c r="M122" i="18"/>
  <c r="N122" i="18"/>
  <c r="F123" i="18"/>
  <c r="G123" i="18"/>
  <c r="Q123" i="18" s="1"/>
  <c r="S123" i="18" s="1"/>
  <c r="H123" i="18"/>
  <c r="R123" i="18" s="1"/>
  <c r="I123" i="18"/>
  <c r="J123" i="18"/>
  <c r="K123" i="18"/>
  <c r="L123" i="18"/>
  <c r="P123" i="18"/>
  <c r="U123" i="18" s="1"/>
  <c r="M123" i="18"/>
  <c r="N123" i="18"/>
  <c r="F124" i="18"/>
  <c r="G124" i="18"/>
  <c r="Q124" i="18" s="1"/>
  <c r="H124" i="18"/>
  <c r="I124" i="18"/>
  <c r="J124" i="18"/>
  <c r="K124" i="18"/>
  <c r="R124" i="18"/>
  <c r="L124" i="18"/>
  <c r="M124" i="18"/>
  <c r="N124" i="18"/>
  <c r="F125" i="18"/>
  <c r="P125" i="18" s="1"/>
  <c r="G125" i="18"/>
  <c r="H125" i="18"/>
  <c r="R125" i="18" s="1"/>
  <c r="I125" i="18"/>
  <c r="J125" i="18"/>
  <c r="K125" i="18"/>
  <c r="L125" i="18"/>
  <c r="M125" i="18"/>
  <c r="N125" i="18"/>
  <c r="F126" i="18"/>
  <c r="G126" i="18"/>
  <c r="H126" i="18"/>
  <c r="I126" i="18"/>
  <c r="AA126" i="18"/>
  <c r="J126" i="18"/>
  <c r="K126" i="18"/>
  <c r="L126" i="18"/>
  <c r="M126" i="18"/>
  <c r="Q126" i="18"/>
  <c r="N126" i="18"/>
  <c r="F127" i="18"/>
  <c r="G127" i="18"/>
  <c r="H127" i="18"/>
  <c r="R127" i="18" s="1"/>
  <c r="I127" i="18"/>
  <c r="J127" i="18"/>
  <c r="K127" i="18"/>
  <c r="L127" i="18"/>
  <c r="AC127" i="18"/>
  <c r="M127" i="18"/>
  <c r="N127" i="18"/>
  <c r="F128" i="18"/>
  <c r="G128" i="18"/>
  <c r="Q128" i="18" s="1"/>
  <c r="H128" i="18"/>
  <c r="I128" i="18"/>
  <c r="J128" i="18"/>
  <c r="K128" i="18"/>
  <c r="L128" i="18"/>
  <c r="M128" i="18"/>
  <c r="N128" i="18"/>
  <c r="F129" i="18"/>
  <c r="Y129" i="18"/>
  <c r="G129" i="18"/>
  <c r="H129" i="18"/>
  <c r="I129" i="18"/>
  <c r="J129" i="18"/>
  <c r="Q129" i="18"/>
  <c r="K129" i="18"/>
  <c r="L129" i="18"/>
  <c r="M129" i="18"/>
  <c r="N129" i="18"/>
  <c r="R129" i="18"/>
  <c r="F130" i="18"/>
  <c r="G130" i="18"/>
  <c r="Q130" i="18" s="1"/>
  <c r="H130" i="18"/>
  <c r="I130" i="18"/>
  <c r="J130" i="18"/>
  <c r="K130" i="18"/>
  <c r="L130" i="18"/>
  <c r="M130" i="18"/>
  <c r="N130" i="18"/>
  <c r="F131" i="18"/>
  <c r="G131" i="18"/>
  <c r="H131" i="18"/>
  <c r="R131" i="18" s="1"/>
  <c r="I131" i="18"/>
  <c r="J131" i="18"/>
  <c r="K131" i="18"/>
  <c r="L131" i="18"/>
  <c r="AC131" i="18"/>
  <c r="M131" i="18"/>
  <c r="N131" i="18"/>
  <c r="F132" i="18"/>
  <c r="G132" i="18"/>
  <c r="Q132" i="18" s="1"/>
  <c r="H132" i="18"/>
  <c r="I132" i="18"/>
  <c r="J132" i="18"/>
  <c r="K132" i="18"/>
  <c r="R132" i="18"/>
  <c r="L132" i="18"/>
  <c r="M132" i="18"/>
  <c r="N132" i="18"/>
  <c r="M5" i="18"/>
  <c r="N5" i="18"/>
  <c r="L5" i="18"/>
  <c r="J5" i="18"/>
  <c r="K5" i="18"/>
  <c r="I5" i="18"/>
  <c r="G5" i="18"/>
  <c r="H5" i="18"/>
  <c r="F5" i="18"/>
  <c r="J67" i="17"/>
  <c r="I67" i="17"/>
  <c r="K63" i="17"/>
  <c r="L68" i="17"/>
  <c r="K68" i="17"/>
  <c r="L67" i="17"/>
  <c r="J63" i="17"/>
  <c r="E53" i="17"/>
  <c r="D49" i="17"/>
  <c r="E52" i="17"/>
  <c r="E51" i="17"/>
  <c r="I49" i="17"/>
  <c r="C49" i="17"/>
  <c r="E47" i="17"/>
  <c r="E46" i="17"/>
  <c r="C43" i="17"/>
  <c r="E40" i="17"/>
  <c r="D58" i="17"/>
  <c r="C58" i="17"/>
  <c r="L39" i="17"/>
  <c r="L49" i="17"/>
  <c r="D56" i="17"/>
  <c r="H37" i="17"/>
  <c r="I48" i="17"/>
  <c r="J47" i="17"/>
  <c r="J26" i="17"/>
  <c r="J28" i="17"/>
  <c r="J29" i="17"/>
  <c r="H25" i="17"/>
  <c r="H24" i="17"/>
  <c r="L26" i="17"/>
  <c r="L30" i="17"/>
  <c r="L31" i="17"/>
  <c r="K26" i="17"/>
  <c r="I26" i="17"/>
  <c r="H23" i="17"/>
  <c r="E22" i="17"/>
  <c r="B13" i="17"/>
  <c r="Q8" i="17"/>
  <c r="E16" i="17"/>
  <c r="J15" i="17"/>
  <c r="J19" i="17" s="1"/>
  <c r="J20" i="17" s="1"/>
  <c r="I15" i="17"/>
  <c r="E14" i="17"/>
  <c r="K15" i="17"/>
  <c r="H12" i="17"/>
  <c r="X191" i="20"/>
  <c r="W191" i="20"/>
  <c r="V191" i="20"/>
  <c r="X190" i="20"/>
  <c r="W190" i="20"/>
  <c r="V190" i="20"/>
  <c r="X189" i="20"/>
  <c r="W189" i="20"/>
  <c r="V189" i="20"/>
  <c r="X188" i="20"/>
  <c r="W188" i="20"/>
  <c r="V188" i="20"/>
  <c r="X186" i="20"/>
  <c r="W186" i="20"/>
  <c r="V186" i="20"/>
  <c r="X184" i="20"/>
  <c r="W184" i="20"/>
  <c r="V184" i="20"/>
  <c r="X183" i="20"/>
  <c r="W183" i="20"/>
  <c r="V183" i="20"/>
  <c r="X182" i="20"/>
  <c r="W182" i="20"/>
  <c r="V182" i="20"/>
  <c r="X181" i="20"/>
  <c r="W181" i="20"/>
  <c r="V181" i="20"/>
  <c r="X179" i="20"/>
  <c r="W179" i="20"/>
  <c r="V179" i="20"/>
  <c r="X176" i="20"/>
  <c r="W176" i="20"/>
  <c r="V176" i="20"/>
  <c r="X175" i="20"/>
  <c r="W175" i="20"/>
  <c r="V175" i="20"/>
  <c r="X174" i="20"/>
  <c r="W174" i="20"/>
  <c r="V174" i="20"/>
  <c r="X173" i="20"/>
  <c r="W173" i="20"/>
  <c r="V173" i="20"/>
  <c r="X171" i="20"/>
  <c r="W171" i="20"/>
  <c r="V171" i="20"/>
  <c r="AB169" i="20"/>
  <c r="AA169" i="20"/>
  <c r="Z169" i="20"/>
  <c r="X169" i="20"/>
  <c r="W169" i="20"/>
  <c r="V169" i="20"/>
  <c r="AB168" i="20"/>
  <c r="AA168" i="20"/>
  <c r="Z168" i="20"/>
  <c r="X168" i="20"/>
  <c r="W168" i="20"/>
  <c r="V168" i="20"/>
  <c r="AB167" i="20"/>
  <c r="AA167" i="20"/>
  <c r="Z167" i="20"/>
  <c r="X167" i="20"/>
  <c r="W167" i="20"/>
  <c r="V167" i="20"/>
  <c r="AB166" i="20"/>
  <c r="AA166" i="20"/>
  <c r="Z166" i="20"/>
  <c r="X166" i="20"/>
  <c r="W166" i="20"/>
  <c r="V166" i="20"/>
  <c r="AB164" i="20"/>
  <c r="AA164" i="20"/>
  <c r="Z164" i="20"/>
  <c r="X164" i="20"/>
  <c r="W164" i="20"/>
  <c r="V164" i="20"/>
  <c r="X161" i="20"/>
  <c r="W161" i="20"/>
  <c r="V161" i="20"/>
  <c r="X160" i="20"/>
  <c r="W160" i="20"/>
  <c r="V160" i="20"/>
  <c r="X159" i="20"/>
  <c r="W159" i="20"/>
  <c r="V159" i="20"/>
  <c r="X158" i="20"/>
  <c r="W158" i="20"/>
  <c r="V158" i="20"/>
  <c r="X156" i="20"/>
  <c r="W156" i="20"/>
  <c r="V156" i="20"/>
  <c r="X154" i="20"/>
  <c r="W154" i="20"/>
  <c r="V154" i="20"/>
  <c r="X153" i="20"/>
  <c r="W153" i="20"/>
  <c r="V153" i="20"/>
  <c r="X152" i="20"/>
  <c r="W152" i="20"/>
  <c r="V152" i="20"/>
  <c r="X151" i="20"/>
  <c r="W151" i="20"/>
  <c r="V151" i="20"/>
  <c r="X149" i="20"/>
  <c r="W149" i="20"/>
  <c r="V149" i="20"/>
  <c r="AF140" i="20"/>
  <c r="AE140" i="20"/>
  <c r="AD140" i="20"/>
  <c r="T140" i="20"/>
  <c r="S140" i="20"/>
  <c r="R140" i="20"/>
  <c r="P140" i="20"/>
  <c r="O140" i="20"/>
  <c r="N140" i="20"/>
  <c r="L140" i="20"/>
  <c r="AB140" i="20"/>
  <c r="K140" i="20"/>
  <c r="J140" i="20"/>
  <c r="H140" i="20"/>
  <c r="G140" i="20"/>
  <c r="AA140" i="20"/>
  <c r="F140" i="20"/>
  <c r="Z140" i="20"/>
  <c r="AF139" i="20"/>
  <c r="AE139" i="20"/>
  <c r="AD139" i="20"/>
  <c r="X139" i="20"/>
  <c r="T139" i="20"/>
  <c r="S139" i="20"/>
  <c r="R139" i="20"/>
  <c r="P139" i="20"/>
  <c r="O139" i="20"/>
  <c r="N139" i="20"/>
  <c r="L139" i="20"/>
  <c r="K139" i="20"/>
  <c r="J139" i="20"/>
  <c r="H139" i="20"/>
  <c r="G139" i="20"/>
  <c r="AA139" i="20"/>
  <c r="F139" i="20"/>
  <c r="Z139" i="20"/>
  <c r="AF138" i="20"/>
  <c r="AE138" i="20"/>
  <c r="AD138" i="20"/>
  <c r="T138" i="20"/>
  <c r="S138" i="20"/>
  <c r="R138" i="20"/>
  <c r="P138" i="20"/>
  <c r="O138" i="20"/>
  <c r="N138" i="20"/>
  <c r="L138" i="20"/>
  <c r="K138" i="20"/>
  <c r="J138" i="20"/>
  <c r="H138" i="20"/>
  <c r="G138" i="20"/>
  <c r="F138" i="20"/>
  <c r="AF137" i="20"/>
  <c r="AE137" i="20"/>
  <c r="AD137" i="20"/>
  <c r="T137" i="20"/>
  <c r="S137" i="20"/>
  <c r="R137" i="20"/>
  <c r="P137" i="20"/>
  <c r="O137" i="20"/>
  <c r="N137" i="20"/>
  <c r="L137" i="20"/>
  <c r="AB137" i="20"/>
  <c r="K137" i="20"/>
  <c r="J137" i="20"/>
  <c r="H137" i="20"/>
  <c r="G137" i="20"/>
  <c r="F137" i="20"/>
  <c r="AF135" i="20"/>
  <c r="AE135" i="20"/>
  <c r="AD135" i="20"/>
  <c r="T135" i="20"/>
  <c r="S135" i="20"/>
  <c r="R135" i="20"/>
  <c r="P135" i="20"/>
  <c r="O135" i="20"/>
  <c r="N135" i="20"/>
  <c r="L135" i="20"/>
  <c r="K135" i="20"/>
  <c r="AA135" i="20"/>
  <c r="J135" i="20"/>
  <c r="Z135" i="20"/>
  <c r="H135" i="20"/>
  <c r="AB135" i="20"/>
  <c r="G135" i="20"/>
  <c r="F135" i="20"/>
  <c r="F134" i="20"/>
  <c r="G134" i="20"/>
  <c r="AB132" i="20"/>
  <c r="AA132" i="20"/>
  <c r="Z132" i="20"/>
  <c r="X132" i="20"/>
  <c r="W132" i="20"/>
  <c r="V132" i="20"/>
  <c r="AB131" i="20"/>
  <c r="AA131" i="20"/>
  <c r="Z131" i="20"/>
  <c r="X131" i="20"/>
  <c r="W131" i="20"/>
  <c r="V131" i="20"/>
  <c r="AB130" i="20"/>
  <c r="AA130" i="20"/>
  <c r="Z130" i="20"/>
  <c r="X130" i="20"/>
  <c r="W130" i="20"/>
  <c r="V130" i="20"/>
  <c r="AB129" i="20"/>
  <c r="AA129" i="20"/>
  <c r="Z129" i="20"/>
  <c r="X129" i="20"/>
  <c r="W129" i="20"/>
  <c r="V129" i="20"/>
  <c r="AB128" i="20"/>
  <c r="AA128" i="20"/>
  <c r="Z128" i="20"/>
  <c r="X128" i="20"/>
  <c r="W128" i="20"/>
  <c r="V128" i="20"/>
  <c r="AB127" i="20"/>
  <c r="AA127" i="20"/>
  <c r="Z127" i="20"/>
  <c r="X127" i="20"/>
  <c r="W127" i="20"/>
  <c r="V127" i="20"/>
  <c r="AB126" i="20"/>
  <c r="AA126" i="20"/>
  <c r="Z126" i="20"/>
  <c r="X126" i="20"/>
  <c r="W126" i="20"/>
  <c r="V126" i="20"/>
  <c r="AB125" i="20"/>
  <c r="AA125" i="20"/>
  <c r="Z125" i="20"/>
  <c r="X125" i="20"/>
  <c r="W125" i="20"/>
  <c r="V125" i="20"/>
  <c r="AB124" i="20"/>
  <c r="AA124" i="20"/>
  <c r="Z124" i="20"/>
  <c r="X124" i="20"/>
  <c r="W124" i="20"/>
  <c r="V124" i="20"/>
  <c r="AB123" i="20"/>
  <c r="AA123" i="20"/>
  <c r="Z123" i="20"/>
  <c r="X123" i="20"/>
  <c r="W123" i="20"/>
  <c r="V123" i="20"/>
  <c r="AB122" i="20"/>
  <c r="AA122" i="20"/>
  <c r="Z122" i="20"/>
  <c r="X122" i="20"/>
  <c r="W122" i="20"/>
  <c r="V122" i="20"/>
  <c r="AB121" i="20"/>
  <c r="AA121" i="20"/>
  <c r="Z121" i="20"/>
  <c r="X121" i="20"/>
  <c r="W121" i="20"/>
  <c r="V121" i="20"/>
  <c r="AB120" i="20"/>
  <c r="AA120" i="20"/>
  <c r="Z120" i="20"/>
  <c r="X120" i="20"/>
  <c r="W120" i="20"/>
  <c r="V120" i="20"/>
  <c r="AB119" i="20"/>
  <c r="AA119" i="20"/>
  <c r="Z119" i="20"/>
  <c r="X119" i="20"/>
  <c r="W119" i="20"/>
  <c r="V119" i="20"/>
  <c r="AB118" i="20"/>
  <c r="AA118" i="20"/>
  <c r="Z118" i="20"/>
  <c r="X118" i="20"/>
  <c r="W118" i="20"/>
  <c r="V118" i="20"/>
  <c r="AB117" i="20"/>
  <c r="AA117" i="20"/>
  <c r="Z117" i="20"/>
  <c r="X117" i="20"/>
  <c r="W117" i="20"/>
  <c r="V117" i="20"/>
  <c r="AB116" i="20"/>
  <c r="AA116" i="20"/>
  <c r="Z116" i="20"/>
  <c r="X116" i="20"/>
  <c r="W116" i="20"/>
  <c r="V116" i="20"/>
  <c r="AB115" i="20"/>
  <c r="AA115" i="20"/>
  <c r="Z115" i="20"/>
  <c r="X115" i="20"/>
  <c r="W115" i="20"/>
  <c r="V115" i="20"/>
  <c r="AB114" i="20"/>
  <c r="AA114" i="20"/>
  <c r="Z114" i="20"/>
  <c r="X114" i="20"/>
  <c r="W114" i="20"/>
  <c r="V114" i="20"/>
  <c r="AB113" i="20"/>
  <c r="AA113" i="20"/>
  <c r="Z113" i="20"/>
  <c r="X113" i="20"/>
  <c r="W113" i="20"/>
  <c r="V113" i="20"/>
  <c r="AB112" i="20"/>
  <c r="AA112" i="20"/>
  <c r="Z112" i="20"/>
  <c r="X112" i="20"/>
  <c r="W112" i="20"/>
  <c r="V112" i="20"/>
  <c r="AB111" i="20"/>
  <c r="AA111" i="20"/>
  <c r="Z111" i="20"/>
  <c r="X111" i="20"/>
  <c r="W111" i="20"/>
  <c r="V111" i="20"/>
  <c r="AB110" i="20"/>
  <c r="AA110" i="20"/>
  <c r="Z110" i="20"/>
  <c r="X110" i="20"/>
  <c r="W110" i="20"/>
  <c r="V110" i="20"/>
  <c r="AB109" i="20"/>
  <c r="AA109" i="20"/>
  <c r="Z109" i="20"/>
  <c r="X109" i="20"/>
  <c r="W109" i="20"/>
  <c r="V109" i="20"/>
  <c r="AB108" i="20"/>
  <c r="AA108" i="20"/>
  <c r="Z108" i="20"/>
  <c r="X108" i="20"/>
  <c r="W108" i="20"/>
  <c r="V108" i="20"/>
  <c r="AB107" i="20"/>
  <c r="AA107" i="20"/>
  <c r="Z107" i="20"/>
  <c r="X107" i="20"/>
  <c r="W107" i="20"/>
  <c r="V107" i="20"/>
  <c r="AB106" i="20"/>
  <c r="AA106" i="20"/>
  <c r="Z106" i="20"/>
  <c r="X106" i="20"/>
  <c r="W106" i="20"/>
  <c r="V106" i="20"/>
  <c r="AB105" i="20"/>
  <c r="AA105" i="20"/>
  <c r="Z105" i="20"/>
  <c r="X105" i="20"/>
  <c r="W105" i="20"/>
  <c r="V105" i="20"/>
  <c r="AB104" i="20"/>
  <c r="AA104" i="20"/>
  <c r="Z104" i="20"/>
  <c r="X104" i="20"/>
  <c r="W104" i="20"/>
  <c r="V104" i="20"/>
  <c r="AB103" i="20"/>
  <c r="AA103" i="20"/>
  <c r="Z103" i="20"/>
  <c r="X103" i="20"/>
  <c r="W103" i="20"/>
  <c r="V103" i="20"/>
  <c r="AB102" i="20"/>
  <c r="AA102" i="20"/>
  <c r="Z102" i="20"/>
  <c r="X102" i="20"/>
  <c r="W102" i="20"/>
  <c r="V102" i="20"/>
  <c r="AB101" i="20"/>
  <c r="AA101" i="20"/>
  <c r="Z101" i="20"/>
  <c r="X101" i="20"/>
  <c r="W101" i="20"/>
  <c r="V101" i="20"/>
  <c r="AB100" i="20"/>
  <c r="AA100" i="20"/>
  <c r="Z100" i="20"/>
  <c r="X100" i="20"/>
  <c r="W100" i="20"/>
  <c r="V100" i="20"/>
  <c r="AB99" i="20"/>
  <c r="AA99" i="20"/>
  <c r="Z99" i="20"/>
  <c r="X99" i="20"/>
  <c r="W99" i="20"/>
  <c r="V99" i="20"/>
  <c r="AB98" i="20"/>
  <c r="AA98" i="20"/>
  <c r="Z98" i="20"/>
  <c r="X98" i="20"/>
  <c r="W98" i="20"/>
  <c r="V98" i="20"/>
  <c r="AB97" i="20"/>
  <c r="AA97" i="20"/>
  <c r="Z97" i="20"/>
  <c r="X97" i="20"/>
  <c r="W97" i="20"/>
  <c r="V97" i="20"/>
  <c r="AB96" i="20"/>
  <c r="AA96" i="20"/>
  <c r="Z96" i="20"/>
  <c r="X96" i="20"/>
  <c r="W96" i="20"/>
  <c r="V96" i="20"/>
  <c r="AB95" i="20"/>
  <c r="AA95" i="20"/>
  <c r="Z95" i="20"/>
  <c r="X95" i="20"/>
  <c r="W95" i="20"/>
  <c r="V95" i="20"/>
  <c r="AB94" i="20"/>
  <c r="AA94" i="20"/>
  <c r="Z94" i="20"/>
  <c r="X94" i="20"/>
  <c r="W94" i="20"/>
  <c r="V94" i="20"/>
  <c r="AB93" i="20"/>
  <c r="AA93" i="20"/>
  <c r="Z93" i="20"/>
  <c r="X93" i="20"/>
  <c r="W93" i="20"/>
  <c r="V93" i="20"/>
  <c r="AB92" i="20"/>
  <c r="AA92" i="20"/>
  <c r="Z92" i="20"/>
  <c r="X92" i="20"/>
  <c r="W92" i="20"/>
  <c r="V92" i="20"/>
  <c r="AB91" i="20"/>
  <c r="AA91" i="20"/>
  <c r="Z91" i="20"/>
  <c r="X91" i="20"/>
  <c r="W91" i="20"/>
  <c r="V91" i="20"/>
  <c r="AB90" i="20"/>
  <c r="AA90" i="20"/>
  <c r="Z90" i="20"/>
  <c r="X90" i="20"/>
  <c r="W90" i="20"/>
  <c r="V90" i="20"/>
  <c r="AB89" i="20"/>
  <c r="AA89" i="20"/>
  <c r="Z89" i="20"/>
  <c r="X89" i="20"/>
  <c r="W89" i="20"/>
  <c r="V89" i="20"/>
  <c r="AB88" i="20"/>
  <c r="AA88" i="20"/>
  <c r="Z88" i="20"/>
  <c r="X88" i="20"/>
  <c r="W88" i="20"/>
  <c r="V88" i="20"/>
  <c r="AB87" i="20"/>
  <c r="AA87" i="20"/>
  <c r="Z87" i="20"/>
  <c r="X87" i="20"/>
  <c r="W87" i="20"/>
  <c r="V87" i="20"/>
  <c r="AB86" i="20"/>
  <c r="AA86" i="20"/>
  <c r="Z86" i="20"/>
  <c r="X86" i="20"/>
  <c r="W86" i="20"/>
  <c r="V86" i="20"/>
  <c r="AB85" i="20"/>
  <c r="AA85" i="20"/>
  <c r="Z85" i="20"/>
  <c r="X85" i="20"/>
  <c r="W85" i="20"/>
  <c r="V85" i="20"/>
  <c r="AB84" i="20"/>
  <c r="AA84" i="20"/>
  <c r="Z84" i="20"/>
  <c r="X84" i="20"/>
  <c r="W84" i="20"/>
  <c r="V84" i="20"/>
  <c r="AB83" i="20"/>
  <c r="AA83" i="20"/>
  <c r="Z83" i="20"/>
  <c r="X83" i="20"/>
  <c r="W83" i="20"/>
  <c r="V83" i="20"/>
  <c r="AB82" i="20"/>
  <c r="AA82" i="20"/>
  <c r="Z82" i="20"/>
  <c r="X82" i="20"/>
  <c r="W82" i="20"/>
  <c r="V82" i="20"/>
  <c r="AB81" i="20"/>
  <c r="AA81" i="20"/>
  <c r="Z81" i="20"/>
  <c r="X81" i="20"/>
  <c r="W81" i="20"/>
  <c r="V81" i="20"/>
  <c r="AB80" i="20"/>
  <c r="AA80" i="20"/>
  <c r="Z80" i="20"/>
  <c r="X80" i="20"/>
  <c r="W80" i="20"/>
  <c r="V80" i="20"/>
  <c r="AB79" i="20"/>
  <c r="AA79" i="20"/>
  <c r="Z79" i="20"/>
  <c r="X79" i="20"/>
  <c r="W79" i="20"/>
  <c r="V79" i="20"/>
  <c r="AB78" i="20"/>
  <c r="AA78" i="20"/>
  <c r="Z78" i="20"/>
  <c r="X78" i="20"/>
  <c r="W78" i="20"/>
  <c r="V78" i="20"/>
  <c r="AB77" i="20"/>
  <c r="AA77" i="20"/>
  <c r="Z77" i="20"/>
  <c r="X77" i="20"/>
  <c r="W77" i="20"/>
  <c r="V77" i="20"/>
  <c r="AB76" i="20"/>
  <c r="AA76" i="20"/>
  <c r="Z76" i="20"/>
  <c r="X76" i="20"/>
  <c r="W76" i="20"/>
  <c r="V76" i="20"/>
  <c r="AB75" i="20"/>
  <c r="AA75" i="20"/>
  <c r="Z75" i="20"/>
  <c r="X75" i="20"/>
  <c r="W75" i="20"/>
  <c r="V75" i="20"/>
  <c r="AB74" i="20"/>
  <c r="AA74" i="20"/>
  <c r="Z74" i="20"/>
  <c r="X74" i="20"/>
  <c r="W74" i="20"/>
  <c r="V74" i="20"/>
  <c r="AB73" i="20"/>
  <c r="AA73" i="20"/>
  <c r="Z73" i="20"/>
  <c r="X73" i="20"/>
  <c r="W73" i="20"/>
  <c r="V73" i="20"/>
  <c r="AB72" i="20"/>
  <c r="AA72" i="20"/>
  <c r="Z72" i="20"/>
  <c r="X72" i="20"/>
  <c r="W72" i="20"/>
  <c r="V72" i="20"/>
  <c r="AB71" i="20"/>
  <c r="AA71" i="20"/>
  <c r="Z71" i="20"/>
  <c r="X71" i="20"/>
  <c r="W71" i="20"/>
  <c r="V71" i="20"/>
  <c r="AB70" i="20"/>
  <c r="AA70" i="20"/>
  <c r="Z70" i="20"/>
  <c r="X70" i="20"/>
  <c r="W70" i="20"/>
  <c r="V70" i="20"/>
  <c r="AB69" i="20"/>
  <c r="AA69" i="20"/>
  <c r="Z69" i="20"/>
  <c r="X69" i="20"/>
  <c r="W69" i="20"/>
  <c r="V69" i="20"/>
  <c r="AB68" i="20"/>
  <c r="AA68" i="20"/>
  <c r="Z68" i="20"/>
  <c r="X68" i="20"/>
  <c r="W68" i="20"/>
  <c r="V68" i="20"/>
  <c r="AB67" i="20"/>
  <c r="AA67" i="20"/>
  <c r="Z67" i="20"/>
  <c r="X67" i="20"/>
  <c r="W67" i="20"/>
  <c r="V67" i="20"/>
  <c r="AB66" i="20"/>
  <c r="AA66" i="20"/>
  <c r="Z66" i="20"/>
  <c r="X66" i="20"/>
  <c r="W66" i="20"/>
  <c r="V66" i="20"/>
  <c r="AB65" i="20"/>
  <c r="AA65" i="20"/>
  <c r="Z65" i="20"/>
  <c r="X65" i="20"/>
  <c r="W65" i="20"/>
  <c r="V65" i="20"/>
  <c r="AB64" i="20"/>
  <c r="AA64" i="20"/>
  <c r="Z64" i="20"/>
  <c r="X64" i="20"/>
  <c r="W64" i="20"/>
  <c r="V64" i="20"/>
  <c r="AB63" i="20"/>
  <c r="AA63" i="20"/>
  <c r="Z63" i="20"/>
  <c r="X63" i="20"/>
  <c r="W63" i="20"/>
  <c r="V63" i="20"/>
  <c r="AB62" i="20"/>
  <c r="AA62" i="20"/>
  <c r="Z62" i="20"/>
  <c r="X62" i="20"/>
  <c r="W62" i="20"/>
  <c r="V62" i="20"/>
  <c r="AB61" i="20"/>
  <c r="AA61" i="20"/>
  <c r="Z61" i="20"/>
  <c r="X61" i="20"/>
  <c r="W61" i="20"/>
  <c r="V61" i="20"/>
  <c r="AB60" i="20"/>
  <c r="AA60" i="20"/>
  <c r="Z60" i="20"/>
  <c r="X60" i="20"/>
  <c r="W60" i="20"/>
  <c r="V60" i="20"/>
  <c r="AB59" i="20"/>
  <c r="AA59" i="20"/>
  <c r="Z59" i="20"/>
  <c r="X59" i="20"/>
  <c r="W59" i="20"/>
  <c r="V59" i="20"/>
  <c r="AB58" i="20"/>
  <c r="AA58" i="20"/>
  <c r="Z58" i="20"/>
  <c r="X58" i="20"/>
  <c r="W58" i="20"/>
  <c r="V58" i="20"/>
  <c r="AB57" i="20"/>
  <c r="AA57" i="20"/>
  <c r="Z57" i="20"/>
  <c r="X57" i="20"/>
  <c r="W57" i="20"/>
  <c r="V57" i="20"/>
  <c r="AB56" i="20"/>
  <c r="AA56" i="20"/>
  <c r="Z56" i="20"/>
  <c r="X56" i="20"/>
  <c r="W56" i="20"/>
  <c r="V56" i="20"/>
  <c r="AB55" i="20"/>
  <c r="AA55" i="20"/>
  <c r="Z55" i="20"/>
  <c r="X55" i="20"/>
  <c r="W55" i="20"/>
  <c r="V55" i="20"/>
  <c r="AB54" i="20"/>
  <c r="AA54" i="20"/>
  <c r="Z54" i="20"/>
  <c r="X54" i="20"/>
  <c r="W54" i="20"/>
  <c r="V54" i="20"/>
  <c r="AB53" i="20"/>
  <c r="AA53" i="20"/>
  <c r="Z53" i="20"/>
  <c r="X53" i="20"/>
  <c r="W53" i="20"/>
  <c r="V53" i="20"/>
  <c r="AB52" i="20"/>
  <c r="AA52" i="20"/>
  <c r="Z52" i="20"/>
  <c r="X52" i="20"/>
  <c r="W52" i="20"/>
  <c r="V52" i="20"/>
  <c r="AB51" i="20"/>
  <c r="AA51" i="20"/>
  <c r="Z51" i="20"/>
  <c r="X51" i="20"/>
  <c r="W51" i="20"/>
  <c r="V51" i="20"/>
  <c r="AB50" i="20"/>
  <c r="AA50" i="20"/>
  <c r="Z50" i="20"/>
  <c r="X50" i="20"/>
  <c r="W50" i="20"/>
  <c r="V50" i="20"/>
  <c r="AB49" i="20"/>
  <c r="AA49" i="20"/>
  <c r="Z49" i="20"/>
  <c r="X49" i="20"/>
  <c r="W49" i="20"/>
  <c r="V49" i="20"/>
  <c r="AB48" i="20"/>
  <c r="AA48" i="20"/>
  <c r="Z48" i="20"/>
  <c r="X48" i="20"/>
  <c r="W48" i="20"/>
  <c r="V48" i="20"/>
  <c r="AB47" i="20"/>
  <c r="AA47" i="20"/>
  <c r="Z47" i="20"/>
  <c r="X47" i="20"/>
  <c r="W47" i="20"/>
  <c r="V47" i="20"/>
  <c r="AB46" i="20"/>
  <c r="AA46" i="20"/>
  <c r="Z46" i="20"/>
  <c r="X46" i="20"/>
  <c r="W46" i="20"/>
  <c r="V46" i="20"/>
  <c r="AB45" i="20"/>
  <c r="AA45" i="20"/>
  <c r="Z45" i="20"/>
  <c r="X45" i="20"/>
  <c r="W45" i="20"/>
  <c r="V45" i="20"/>
  <c r="AB44" i="20"/>
  <c r="AA44" i="20"/>
  <c r="Z44" i="20"/>
  <c r="X44" i="20"/>
  <c r="W44" i="20"/>
  <c r="V44" i="20"/>
  <c r="AB43" i="20"/>
  <c r="AA43" i="20"/>
  <c r="Z43" i="20"/>
  <c r="X43" i="20"/>
  <c r="W43" i="20"/>
  <c r="V43" i="20"/>
  <c r="AB42" i="20"/>
  <c r="AA42" i="20"/>
  <c r="Z42" i="20"/>
  <c r="X42" i="20"/>
  <c r="W42" i="20"/>
  <c r="V42" i="20"/>
  <c r="AB41" i="20"/>
  <c r="AA41" i="20"/>
  <c r="Z41" i="20"/>
  <c r="X41" i="20"/>
  <c r="W41" i="20"/>
  <c r="V41" i="20"/>
  <c r="AB40" i="20"/>
  <c r="AA40" i="20"/>
  <c r="Z40" i="20"/>
  <c r="X40" i="20"/>
  <c r="W40" i="20"/>
  <c r="V40" i="20"/>
  <c r="AB39" i="20"/>
  <c r="AA39" i="20"/>
  <c r="Z39" i="20"/>
  <c r="X39" i="20"/>
  <c r="W39" i="20"/>
  <c r="V39" i="20"/>
  <c r="AB38" i="20"/>
  <c r="AA38" i="20"/>
  <c r="Z38" i="20"/>
  <c r="X38" i="20"/>
  <c r="W38" i="20"/>
  <c r="V38" i="20"/>
  <c r="AB37" i="20"/>
  <c r="AA37" i="20"/>
  <c r="Z37" i="20"/>
  <c r="X37" i="20"/>
  <c r="W37" i="20"/>
  <c r="V37" i="20"/>
  <c r="AB36" i="20"/>
  <c r="AA36" i="20"/>
  <c r="Z36" i="20"/>
  <c r="X36" i="20"/>
  <c r="W36" i="20"/>
  <c r="V36" i="20"/>
  <c r="AB35" i="20"/>
  <c r="AA35" i="20"/>
  <c r="Z35" i="20"/>
  <c r="X35" i="20"/>
  <c r="W35" i="20"/>
  <c r="V35" i="20"/>
  <c r="AB34" i="20"/>
  <c r="AA34" i="20"/>
  <c r="Z34" i="20"/>
  <c r="X34" i="20"/>
  <c r="W34" i="20"/>
  <c r="V34" i="20"/>
  <c r="AB33" i="20"/>
  <c r="AA33" i="20"/>
  <c r="Z33" i="20"/>
  <c r="X33" i="20"/>
  <c r="W33" i="20"/>
  <c r="V33" i="20"/>
  <c r="AB32" i="20"/>
  <c r="AA32" i="20"/>
  <c r="Z32" i="20"/>
  <c r="X32" i="20"/>
  <c r="W32" i="20"/>
  <c r="V32" i="20"/>
  <c r="AB31" i="20"/>
  <c r="AA31" i="20"/>
  <c r="Z31" i="20"/>
  <c r="X31" i="20"/>
  <c r="W31" i="20"/>
  <c r="V31" i="20"/>
  <c r="AB30" i="20"/>
  <c r="AA30" i="20"/>
  <c r="Z30" i="20"/>
  <c r="X30" i="20"/>
  <c r="X138" i="20"/>
  <c r="W30" i="20"/>
  <c r="W138" i="20"/>
  <c r="V30" i="20"/>
  <c r="V138" i="20"/>
  <c r="AB29" i="20"/>
  <c r="AA29" i="20"/>
  <c r="Z29" i="20"/>
  <c r="X29" i="20"/>
  <c r="W29" i="20"/>
  <c r="V29" i="20"/>
  <c r="AB28" i="20"/>
  <c r="AA28" i="20"/>
  <c r="Z28" i="20"/>
  <c r="X28" i="20"/>
  <c r="W28" i="20"/>
  <c r="V28" i="20"/>
  <c r="AB27" i="20"/>
  <c r="AA27" i="20"/>
  <c r="Z27" i="20"/>
  <c r="X27" i="20"/>
  <c r="W27" i="20"/>
  <c r="V27" i="20"/>
  <c r="AB26" i="20"/>
  <c r="AA26" i="20"/>
  <c r="Z26" i="20"/>
  <c r="X26" i="20"/>
  <c r="W26" i="20"/>
  <c r="V26" i="20"/>
  <c r="AB25" i="20"/>
  <c r="AA25" i="20"/>
  <c r="Z25" i="20"/>
  <c r="X25" i="20"/>
  <c r="W25" i="20"/>
  <c r="W137" i="20"/>
  <c r="V25" i="20"/>
  <c r="AB24" i="20"/>
  <c r="AA24" i="20"/>
  <c r="Z24" i="20"/>
  <c r="X24" i="20"/>
  <c r="W24" i="20"/>
  <c r="V24" i="20"/>
  <c r="AB23" i="20"/>
  <c r="AA23" i="20"/>
  <c r="Z23" i="20"/>
  <c r="X23" i="20"/>
  <c r="W23" i="20"/>
  <c r="V23" i="20"/>
  <c r="AB22" i="20"/>
  <c r="AA22" i="20"/>
  <c r="Z22" i="20"/>
  <c r="X22" i="20"/>
  <c r="W22" i="20"/>
  <c r="V22" i="20"/>
  <c r="AB21" i="20"/>
  <c r="AA21" i="20"/>
  <c r="Z21" i="20"/>
  <c r="X21" i="20"/>
  <c r="W21" i="20"/>
  <c r="V21" i="20"/>
  <c r="AB20" i="20"/>
  <c r="AA20" i="20"/>
  <c r="Z20" i="20"/>
  <c r="X20" i="20"/>
  <c r="W20" i="20"/>
  <c r="V20" i="20"/>
  <c r="AB19" i="20"/>
  <c r="AA19" i="20"/>
  <c r="Z19" i="20"/>
  <c r="X19" i="20"/>
  <c r="W19" i="20"/>
  <c r="V19" i="20"/>
  <c r="AB18" i="20"/>
  <c r="AA18" i="20"/>
  <c r="Z18" i="20"/>
  <c r="X18" i="20"/>
  <c r="W18" i="20"/>
  <c r="V18" i="20"/>
  <c r="AB17" i="20"/>
  <c r="AA17" i="20"/>
  <c r="Z17" i="20"/>
  <c r="X17" i="20"/>
  <c r="W17" i="20"/>
  <c r="V17" i="20"/>
  <c r="AB16" i="20"/>
  <c r="AA16" i="20"/>
  <c r="Z16" i="20"/>
  <c r="X16" i="20"/>
  <c r="W16" i="20"/>
  <c r="V16" i="20"/>
  <c r="AB15" i="20"/>
  <c r="AA15" i="20"/>
  <c r="Z15" i="20"/>
  <c r="X15" i="20"/>
  <c r="W15" i="20"/>
  <c r="V15" i="20"/>
  <c r="AB14" i="20"/>
  <c r="AA14" i="20"/>
  <c r="Z14" i="20"/>
  <c r="X14" i="20"/>
  <c r="W14" i="20"/>
  <c r="V14" i="20"/>
  <c r="AB13" i="20"/>
  <c r="AA13" i="20"/>
  <c r="Z13" i="20"/>
  <c r="X13" i="20"/>
  <c r="W13" i="20"/>
  <c r="V13" i="20"/>
  <c r="AB12" i="20"/>
  <c r="AA12" i="20"/>
  <c r="Z12" i="20"/>
  <c r="X12" i="20"/>
  <c r="W12" i="20"/>
  <c r="V12" i="20"/>
  <c r="AB11" i="20"/>
  <c r="AA11" i="20"/>
  <c r="Z11" i="20"/>
  <c r="X11" i="20"/>
  <c r="W11" i="20"/>
  <c r="V11" i="20"/>
  <c r="AB10" i="20"/>
  <c r="AA10" i="20"/>
  <c r="Z10" i="20"/>
  <c r="X10" i="20"/>
  <c r="X137" i="20"/>
  <c r="W10" i="20"/>
  <c r="V10" i="20"/>
  <c r="V137" i="20"/>
  <c r="AB9" i="20"/>
  <c r="AA9" i="20"/>
  <c r="Z9" i="20"/>
  <c r="X9" i="20"/>
  <c r="W9" i="20"/>
  <c r="V9" i="20"/>
  <c r="AB8" i="20"/>
  <c r="AA8" i="20"/>
  <c r="Z8" i="20"/>
  <c r="X8" i="20"/>
  <c r="W8" i="20"/>
  <c r="V8" i="20"/>
  <c r="AB7" i="20"/>
  <c r="AA7" i="20"/>
  <c r="Z7" i="20"/>
  <c r="X7" i="20"/>
  <c r="W7" i="20"/>
  <c r="W139" i="20"/>
  <c r="V7" i="20"/>
  <c r="V139" i="20"/>
  <c r="AB6" i="20"/>
  <c r="AA6" i="20"/>
  <c r="Z6" i="20"/>
  <c r="X6" i="20"/>
  <c r="W6" i="20"/>
  <c r="V6" i="20"/>
  <c r="AB5" i="20"/>
  <c r="AA5" i="20"/>
  <c r="Z5" i="20"/>
  <c r="X5" i="20"/>
  <c r="X135" i="20"/>
  <c r="W5" i="20"/>
  <c r="W140" i="20"/>
  <c r="V5" i="20"/>
  <c r="V140" i="20"/>
  <c r="G174" i="21"/>
  <c r="G166" i="21"/>
  <c r="G158" i="21"/>
  <c r="AO156" i="21"/>
  <c r="AK156" i="21"/>
  <c r="AO155" i="21"/>
  <c r="AK155" i="21"/>
  <c r="AO154" i="21"/>
  <c r="AK154" i="21"/>
  <c r="AO153" i="21"/>
  <c r="AK153" i="21"/>
  <c r="AO151" i="21"/>
  <c r="AK151" i="21"/>
  <c r="G150" i="21"/>
  <c r="AO148" i="21"/>
  <c r="AO147" i="21"/>
  <c r="AO146" i="21"/>
  <c r="AO145" i="21"/>
  <c r="AO143" i="21"/>
  <c r="AM143" i="21"/>
  <c r="G142" i="21"/>
  <c r="AK140" i="21"/>
  <c r="AJ140" i="21"/>
  <c r="AI140" i="21"/>
  <c r="Y140" i="21"/>
  <c r="X140" i="21"/>
  <c r="W140" i="21"/>
  <c r="R140" i="21"/>
  <c r="Q140" i="21"/>
  <c r="P140" i="21"/>
  <c r="H140" i="21"/>
  <c r="G140" i="21"/>
  <c r="F140" i="21"/>
  <c r="AK139" i="21"/>
  <c r="AJ139" i="21"/>
  <c r="AI139" i="21"/>
  <c r="Y139" i="21"/>
  <c r="X139" i="21"/>
  <c r="W139" i="21"/>
  <c r="R139" i="21"/>
  <c r="Q139" i="21"/>
  <c r="P139" i="21"/>
  <c r="H139" i="21"/>
  <c r="G139" i="21"/>
  <c r="F139" i="21"/>
  <c r="AK138" i="21"/>
  <c r="AJ138" i="21"/>
  <c r="AI138" i="21"/>
  <c r="Y138" i="21"/>
  <c r="X138" i="21"/>
  <c r="W138" i="21"/>
  <c r="R138" i="21"/>
  <c r="Q138" i="21"/>
  <c r="P138" i="21"/>
  <c r="H138" i="21"/>
  <c r="G138" i="21"/>
  <c r="F138" i="21"/>
  <c r="AK137" i="21"/>
  <c r="AJ137" i="21"/>
  <c r="AI137" i="21"/>
  <c r="Y137" i="21"/>
  <c r="X137" i="21"/>
  <c r="W137" i="21"/>
  <c r="Q137" i="21"/>
  <c r="P137" i="21"/>
  <c r="H137" i="21"/>
  <c r="G137" i="21"/>
  <c r="F137" i="21"/>
  <c r="AK135" i="21"/>
  <c r="AJ135" i="21"/>
  <c r="AI135" i="21"/>
  <c r="Y135" i="21"/>
  <c r="X135" i="21"/>
  <c r="W135" i="21"/>
  <c r="R135" i="21"/>
  <c r="Q135" i="21"/>
  <c r="P135" i="21"/>
  <c r="H135" i="21"/>
  <c r="G135" i="21"/>
  <c r="F135" i="21"/>
  <c r="G134" i="21"/>
  <c r="AE132" i="21"/>
  <c r="AD132" i="21"/>
  <c r="AC132" i="21"/>
  <c r="U132" i="21"/>
  <c r="T132" i="21"/>
  <c r="N132" i="21"/>
  <c r="M132" i="21"/>
  <c r="K132" i="21"/>
  <c r="J132" i="21"/>
  <c r="AE131" i="21"/>
  <c r="AD131" i="21"/>
  <c r="AC131" i="21"/>
  <c r="U131" i="21"/>
  <c r="T131" i="21"/>
  <c r="N131" i="21"/>
  <c r="M131" i="21"/>
  <c r="K131" i="21"/>
  <c r="J131" i="21"/>
  <c r="AE130" i="21"/>
  <c r="AD130" i="21"/>
  <c r="AC130" i="21"/>
  <c r="U130" i="21"/>
  <c r="T130" i="21"/>
  <c r="N130" i="21"/>
  <c r="M130" i="21"/>
  <c r="K130" i="21"/>
  <c r="J130" i="21"/>
  <c r="AE129" i="21"/>
  <c r="AD129" i="21"/>
  <c r="AC129" i="21"/>
  <c r="U129" i="21"/>
  <c r="T129" i="21"/>
  <c r="N129" i="21"/>
  <c r="M129" i="21"/>
  <c r="K129" i="21"/>
  <c r="J129" i="21"/>
  <c r="AE128" i="21"/>
  <c r="AD128" i="21"/>
  <c r="AC128" i="21"/>
  <c r="U128" i="21"/>
  <c r="T128" i="21"/>
  <c r="N128" i="21"/>
  <c r="M128" i="21"/>
  <c r="K128" i="21"/>
  <c r="J128" i="21"/>
  <c r="AE127" i="21"/>
  <c r="AD127" i="21"/>
  <c r="AC127" i="21"/>
  <c r="U127" i="21"/>
  <c r="T127" i="21"/>
  <c r="N127" i="21"/>
  <c r="AG127" i="21"/>
  <c r="M127" i="21"/>
  <c r="K127" i="21"/>
  <c r="J127" i="21"/>
  <c r="AE126" i="21"/>
  <c r="AD126" i="21"/>
  <c r="AC126" i="21"/>
  <c r="U126" i="21"/>
  <c r="T126" i="21"/>
  <c r="N126" i="21"/>
  <c r="M126" i="21"/>
  <c r="K126" i="21"/>
  <c r="J126" i="21"/>
  <c r="AE125" i="21"/>
  <c r="AD125" i="21"/>
  <c r="AC125" i="21"/>
  <c r="U125" i="21"/>
  <c r="T125" i="21"/>
  <c r="N125" i="21"/>
  <c r="M125" i="21"/>
  <c r="K125" i="21"/>
  <c r="J125" i="21"/>
  <c r="AE124" i="21"/>
  <c r="AD124" i="21"/>
  <c r="AC124" i="21"/>
  <c r="U124" i="21"/>
  <c r="T124" i="21"/>
  <c r="N124" i="21"/>
  <c r="M124" i="21"/>
  <c r="K124" i="21"/>
  <c r="J124" i="21"/>
  <c r="AE123" i="21"/>
  <c r="AD123" i="21"/>
  <c r="AC123" i="21"/>
  <c r="U123" i="21"/>
  <c r="T123" i="21"/>
  <c r="N123" i="21"/>
  <c r="AG123" i="21"/>
  <c r="M123" i="21"/>
  <c r="K123" i="21"/>
  <c r="J123" i="21"/>
  <c r="AE122" i="21"/>
  <c r="AD122" i="21"/>
  <c r="AC122" i="21"/>
  <c r="U122" i="21"/>
  <c r="T122" i="21"/>
  <c r="N122" i="21"/>
  <c r="M122" i="21"/>
  <c r="K122" i="21"/>
  <c r="J122" i="21"/>
  <c r="AE121" i="21"/>
  <c r="AD121" i="21"/>
  <c r="AC121" i="21"/>
  <c r="U121" i="21"/>
  <c r="T121" i="21"/>
  <c r="N121" i="21"/>
  <c r="M121" i="21"/>
  <c r="K121" i="21"/>
  <c r="J121" i="21"/>
  <c r="AE120" i="21"/>
  <c r="AD120" i="21"/>
  <c r="AC120" i="21"/>
  <c r="U120" i="21"/>
  <c r="T120" i="21"/>
  <c r="N120" i="21"/>
  <c r="M120" i="21"/>
  <c r="K120" i="21"/>
  <c r="J120" i="21"/>
  <c r="AE119" i="21"/>
  <c r="AD119" i="21"/>
  <c r="AC119" i="21"/>
  <c r="U119" i="21"/>
  <c r="T119" i="21"/>
  <c r="N119" i="21"/>
  <c r="AG119" i="21"/>
  <c r="M119" i="21"/>
  <c r="K119" i="21"/>
  <c r="J119" i="21"/>
  <c r="AE118" i="21"/>
  <c r="AD118" i="21"/>
  <c r="AC118" i="21"/>
  <c r="U118" i="21"/>
  <c r="T118" i="21"/>
  <c r="N118" i="21"/>
  <c r="M118" i="21"/>
  <c r="K118" i="21"/>
  <c r="J118" i="21"/>
  <c r="AE117" i="21"/>
  <c r="AD117" i="21"/>
  <c r="AC117" i="21"/>
  <c r="U117" i="21"/>
  <c r="T117" i="21"/>
  <c r="N117" i="21"/>
  <c r="M117" i="21"/>
  <c r="K117" i="21"/>
  <c r="J117" i="21"/>
  <c r="AE116" i="21"/>
  <c r="AD116" i="21"/>
  <c r="AC116" i="21"/>
  <c r="U116" i="21"/>
  <c r="T116" i="21"/>
  <c r="N116" i="21"/>
  <c r="M116" i="21"/>
  <c r="K116" i="21"/>
  <c r="J116" i="21"/>
  <c r="AE115" i="21"/>
  <c r="AD115" i="21"/>
  <c r="AC115" i="21"/>
  <c r="U115" i="21"/>
  <c r="T115" i="21"/>
  <c r="N115" i="21"/>
  <c r="AG115" i="21"/>
  <c r="M115" i="21"/>
  <c r="K115" i="21"/>
  <c r="J115" i="21"/>
  <c r="AE114" i="21"/>
  <c r="AD114" i="21"/>
  <c r="AC114" i="21"/>
  <c r="U114" i="21"/>
  <c r="T114" i="21"/>
  <c r="N114" i="21"/>
  <c r="M114" i="21"/>
  <c r="K114" i="21"/>
  <c r="J114" i="21"/>
  <c r="AE113" i="21"/>
  <c r="AD113" i="21"/>
  <c r="AC113" i="21"/>
  <c r="U113" i="21"/>
  <c r="T113" i="21"/>
  <c r="N113" i="21"/>
  <c r="M113" i="21"/>
  <c r="K113" i="21"/>
  <c r="AG113" i="21"/>
  <c r="J113" i="21"/>
  <c r="AE112" i="21"/>
  <c r="AD112" i="21"/>
  <c r="AC112" i="21"/>
  <c r="U112" i="21"/>
  <c r="T112" i="21"/>
  <c r="N112" i="21"/>
  <c r="M112" i="21"/>
  <c r="K112" i="21"/>
  <c r="J112" i="21"/>
  <c r="AE111" i="21"/>
  <c r="AD111" i="21"/>
  <c r="AC111" i="21"/>
  <c r="U111" i="21"/>
  <c r="T111" i="21"/>
  <c r="N111" i="21"/>
  <c r="M111" i="21"/>
  <c r="K111" i="21"/>
  <c r="J111" i="21"/>
  <c r="AE110" i="21"/>
  <c r="AD110" i="21"/>
  <c r="AC110" i="21"/>
  <c r="U110" i="21"/>
  <c r="T110" i="21"/>
  <c r="N110" i="21"/>
  <c r="AG110" i="21"/>
  <c r="M110" i="21"/>
  <c r="K110" i="21"/>
  <c r="J110" i="21"/>
  <c r="AE109" i="21"/>
  <c r="AD109" i="21"/>
  <c r="AC109" i="21"/>
  <c r="U109" i="21"/>
  <c r="T109" i="21"/>
  <c r="N109" i="21"/>
  <c r="M109" i="21"/>
  <c r="K109" i="21"/>
  <c r="AG109" i="21"/>
  <c r="J109" i="21"/>
  <c r="AE108" i="21"/>
  <c r="AD108" i="21"/>
  <c r="AC108" i="21"/>
  <c r="U108" i="21"/>
  <c r="T108" i="21"/>
  <c r="N108" i="21"/>
  <c r="M108" i="21"/>
  <c r="K108" i="21"/>
  <c r="J108" i="21"/>
  <c r="AE107" i="21"/>
  <c r="AD107" i="21"/>
  <c r="AC107" i="21"/>
  <c r="U107" i="21"/>
  <c r="T107" i="21"/>
  <c r="N107" i="21"/>
  <c r="M107" i="21"/>
  <c r="K107" i="21"/>
  <c r="J107" i="21"/>
  <c r="AE106" i="21"/>
  <c r="AD106" i="21"/>
  <c r="AC106" i="21"/>
  <c r="U106" i="21"/>
  <c r="T106" i="21"/>
  <c r="N106" i="21"/>
  <c r="M106" i="21"/>
  <c r="K106" i="21"/>
  <c r="J106" i="21"/>
  <c r="AE105" i="21"/>
  <c r="AD105" i="21"/>
  <c r="AC105" i="21"/>
  <c r="U105" i="21"/>
  <c r="T105" i="21"/>
  <c r="N105" i="21"/>
  <c r="M105" i="21"/>
  <c r="K105" i="21"/>
  <c r="AG105" i="21"/>
  <c r="J105" i="21"/>
  <c r="AE104" i="21"/>
  <c r="AD104" i="21"/>
  <c r="AC104" i="21"/>
  <c r="U104" i="21"/>
  <c r="T104" i="21"/>
  <c r="N104" i="21"/>
  <c r="M104" i="21"/>
  <c r="K104" i="21"/>
  <c r="J104" i="21"/>
  <c r="AE103" i="21"/>
  <c r="AD103" i="21"/>
  <c r="AC103" i="21"/>
  <c r="U103" i="21"/>
  <c r="T103" i="21"/>
  <c r="N103" i="21"/>
  <c r="M103" i="21"/>
  <c r="K103" i="21"/>
  <c r="J103" i="21"/>
  <c r="AE102" i="21"/>
  <c r="AD102" i="21"/>
  <c r="AC102" i="21"/>
  <c r="U102" i="21"/>
  <c r="T102" i="21"/>
  <c r="N102" i="21"/>
  <c r="M102" i="21"/>
  <c r="K102" i="21"/>
  <c r="J102" i="21"/>
  <c r="AE101" i="21"/>
  <c r="AD101" i="21"/>
  <c r="AC101" i="21"/>
  <c r="U101" i="21"/>
  <c r="T101" i="21"/>
  <c r="N101" i="21"/>
  <c r="M101" i="21"/>
  <c r="K101" i="21"/>
  <c r="AG101" i="21"/>
  <c r="J101" i="21"/>
  <c r="AE100" i="21"/>
  <c r="AD100" i="21"/>
  <c r="AC100" i="21"/>
  <c r="U100" i="21"/>
  <c r="T100" i="21"/>
  <c r="N100" i="21"/>
  <c r="M100" i="21"/>
  <c r="K100" i="21"/>
  <c r="AG100" i="21"/>
  <c r="J100" i="21"/>
  <c r="AE99" i="21"/>
  <c r="AD99" i="21"/>
  <c r="AC99" i="21"/>
  <c r="U99" i="21"/>
  <c r="T99" i="21"/>
  <c r="N99" i="21"/>
  <c r="M99" i="21"/>
  <c r="K99" i="21"/>
  <c r="J99" i="21"/>
  <c r="AE98" i="21"/>
  <c r="AD98" i="21"/>
  <c r="AC98" i="21"/>
  <c r="U98" i="21"/>
  <c r="T98" i="21"/>
  <c r="N98" i="21"/>
  <c r="AG98" i="21"/>
  <c r="M98" i="21"/>
  <c r="K98" i="21"/>
  <c r="J98" i="21"/>
  <c r="AE97" i="21"/>
  <c r="AD97" i="21"/>
  <c r="AC97" i="21"/>
  <c r="U97" i="21"/>
  <c r="T97" i="21"/>
  <c r="N97" i="21"/>
  <c r="M97" i="21"/>
  <c r="K97" i="21"/>
  <c r="AG97" i="21"/>
  <c r="J97" i="21"/>
  <c r="AE96" i="21"/>
  <c r="AD96" i="21"/>
  <c r="AC96" i="21"/>
  <c r="U96" i="21"/>
  <c r="T96" i="21"/>
  <c r="N96" i="21"/>
  <c r="M96" i="21"/>
  <c r="K96" i="21"/>
  <c r="J96" i="21"/>
  <c r="AE95" i="21"/>
  <c r="AD95" i="21"/>
  <c r="AC95" i="21"/>
  <c r="U95" i="21"/>
  <c r="T95" i="21"/>
  <c r="N95" i="21"/>
  <c r="M95" i="21"/>
  <c r="K95" i="21"/>
  <c r="AG95" i="21"/>
  <c r="J95" i="21"/>
  <c r="AE94" i="21"/>
  <c r="AD94" i="21"/>
  <c r="AC94" i="21"/>
  <c r="U94" i="21"/>
  <c r="T94" i="21"/>
  <c r="N94" i="21"/>
  <c r="M94" i="21"/>
  <c r="K94" i="21"/>
  <c r="J94" i="21"/>
  <c r="AE93" i="21"/>
  <c r="AD93" i="21"/>
  <c r="AC93" i="21"/>
  <c r="U93" i="21"/>
  <c r="T93" i="21"/>
  <c r="N93" i="21"/>
  <c r="M93" i="21"/>
  <c r="K93" i="21"/>
  <c r="AG93" i="21"/>
  <c r="J93" i="21"/>
  <c r="AE92" i="21"/>
  <c r="AD92" i="21"/>
  <c r="AC92" i="21"/>
  <c r="U92" i="21"/>
  <c r="T92" i="21"/>
  <c r="N92" i="21"/>
  <c r="M92" i="21"/>
  <c r="K92" i="21"/>
  <c r="J92" i="21"/>
  <c r="AE91" i="21"/>
  <c r="AD91" i="21"/>
  <c r="AC91" i="21"/>
  <c r="U91" i="21"/>
  <c r="T91" i="21"/>
  <c r="N91" i="21"/>
  <c r="M91" i="21"/>
  <c r="K91" i="21"/>
  <c r="AG91" i="21"/>
  <c r="J91" i="21"/>
  <c r="AE90" i="21"/>
  <c r="AD90" i="21"/>
  <c r="AC90" i="21"/>
  <c r="U90" i="21"/>
  <c r="T90" i="21"/>
  <c r="N90" i="21"/>
  <c r="AG90" i="21"/>
  <c r="M90" i="21"/>
  <c r="K90" i="21"/>
  <c r="J90" i="21"/>
  <c r="AE89" i="21"/>
  <c r="AD89" i="21"/>
  <c r="AC89" i="21"/>
  <c r="U89" i="21"/>
  <c r="T89" i="21"/>
  <c r="N89" i="21"/>
  <c r="M89" i="21"/>
  <c r="K89" i="21"/>
  <c r="AG89" i="21"/>
  <c r="J89" i="21"/>
  <c r="AE88" i="21"/>
  <c r="AD88" i="21"/>
  <c r="AC88" i="21"/>
  <c r="U88" i="21"/>
  <c r="T88" i="21"/>
  <c r="N88" i="21"/>
  <c r="M88" i="21"/>
  <c r="K88" i="21"/>
  <c r="J88" i="21"/>
  <c r="AE87" i="21"/>
  <c r="AD87" i="21"/>
  <c r="AC87" i="21"/>
  <c r="U87" i="21"/>
  <c r="T87" i="21"/>
  <c r="N87" i="21"/>
  <c r="M87" i="21"/>
  <c r="K87" i="21"/>
  <c r="AG87" i="21"/>
  <c r="J87" i="21"/>
  <c r="AE86" i="21"/>
  <c r="AD86" i="21"/>
  <c r="AC86" i="21"/>
  <c r="U86" i="21"/>
  <c r="T86" i="21"/>
  <c r="N86" i="21"/>
  <c r="M86" i="21"/>
  <c r="K86" i="21"/>
  <c r="J86" i="21"/>
  <c r="AE85" i="21"/>
  <c r="AD85" i="21"/>
  <c r="AC85" i="21"/>
  <c r="U85" i="21"/>
  <c r="T85" i="21"/>
  <c r="N85" i="21"/>
  <c r="M85" i="21"/>
  <c r="K85" i="21"/>
  <c r="AG85" i="21"/>
  <c r="J85" i="21"/>
  <c r="AE84" i="21"/>
  <c r="AD84" i="21"/>
  <c r="AC84" i="21"/>
  <c r="U84" i="21"/>
  <c r="T84" i="21"/>
  <c r="N84" i="21"/>
  <c r="M84" i="21"/>
  <c r="K84" i="21"/>
  <c r="J84" i="21"/>
  <c r="AE83" i="21"/>
  <c r="AD83" i="21"/>
  <c r="AC83" i="21"/>
  <c r="U83" i="21"/>
  <c r="T83" i="21"/>
  <c r="N83" i="21"/>
  <c r="M83" i="21"/>
  <c r="K83" i="21"/>
  <c r="AG83" i="21"/>
  <c r="J83" i="21"/>
  <c r="AE82" i="21"/>
  <c r="AD82" i="21"/>
  <c r="AC82" i="21"/>
  <c r="U82" i="21"/>
  <c r="T82" i="21"/>
  <c r="N82" i="21"/>
  <c r="AG82" i="21"/>
  <c r="M82" i="21"/>
  <c r="K82" i="21"/>
  <c r="J82" i="21"/>
  <c r="AE81" i="21"/>
  <c r="AD81" i="21"/>
  <c r="AC81" i="21"/>
  <c r="U81" i="21"/>
  <c r="T81" i="21"/>
  <c r="N81" i="21"/>
  <c r="M81" i="21"/>
  <c r="K81" i="21"/>
  <c r="AG81" i="21"/>
  <c r="J81" i="21"/>
  <c r="AE80" i="21"/>
  <c r="AD80" i="21"/>
  <c r="AC80" i="21"/>
  <c r="U80" i="21"/>
  <c r="T80" i="21"/>
  <c r="N80" i="21"/>
  <c r="M80" i="21"/>
  <c r="K80" i="21"/>
  <c r="J80" i="21"/>
  <c r="AE79" i="21"/>
  <c r="AD79" i="21"/>
  <c r="AC79" i="21"/>
  <c r="U79" i="21"/>
  <c r="T79" i="21"/>
  <c r="N79" i="21"/>
  <c r="M79" i="21"/>
  <c r="K79" i="21"/>
  <c r="AG79" i="21"/>
  <c r="J79" i="21"/>
  <c r="AE78" i="21"/>
  <c r="AD78" i="21"/>
  <c r="AC78" i="21"/>
  <c r="U78" i="21"/>
  <c r="T78" i="21"/>
  <c r="N78" i="21"/>
  <c r="M78" i="21"/>
  <c r="K78" i="21"/>
  <c r="J78" i="21"/>
  <c r="AE77" i="21"/>
  <c r="AD77" i="21"/>
  <c r="AC77" i="21"/>
  <c r="U77" i="21"/>
  <c r="T77" i="21"/>
  <c r="N77" i="21"/>
  <c r="M77" i="21"/>
  <c r="K77" i="21"/>
  <c r="AG77" i="21"/>
  <c r="J77" i="21"/>
  <c r="AE76" i="21"/>
  <c r="AD76" i="21"/>
  <c r="AC76" i="21"/>
  <c r="U76" i="21"/>
  <c r="T76" i="21"/>
  <c r="N76" i="21"/>
  <c r="M76" i="21"/>
  <c r="K76" i="21"/>
  <c r="J76" i="21"/>
  <c r="AE75" i="21"/>
  <c r="AD75" i="21"/>
  <c r="AC75" i="21"/>
  <c r="U75" i="21"/>
  <c r="T75" i="21"/>
  <c r="N75" i="21"/>
  <c r="M75" i="21"/>
  <c r="K75" i="21"/>
  <c r="AG75" i="21"/>
  <c r="J75" i="21"/>
  <c r="AE74" i="21"/>
  <c r="AD74" i="21"/>
  <c r="AC74" i="21"/>
  <c r="U74" i="21"/>
  <c r="T74" i="21"/>
  <c r="N74" i="21"/>
  <c r="M74" i="21"/>
  <c r="K74" i="21"/>
  <c r="J74" i="21"/>
  <c r="AE73" i="21"/>
  <c r="AD73" i="21"/>
  <c r="AC73" i="21"/>
  <c r="U73" i="21"/>
  <c r="T73" i="21"/>
  <c r="N73" i="21"/>
  <c r="M73" i="21"/>
  <c r="K73" i="21"/>
  <c r="AG73" i="21"/>
  <c r="J73" i="21"/>
  <c r="AE72" i="21"/>
  <c r="AD72" i="21"/>
  <c r="AC72" i="21"/>
  <c r="U72" i="21"/>
  <c r="T72" i="21"/>
  <c r="N72" i="21"/>
  <c r="M72" i="21"/>
  <c r="K72" i="21"/>
  <c r="AG72" i="21"/>
  <c r="J72" i="21"/>
  <c r="AE71" i="21"/>
  <c r="AD71" i="21"/>
  <c r="AC71" i="21"/>
  <c r="U71" i="21"/>
  <c r="T71" i="21"/>
  <c r="N71" i="21"/>
  <c r="M71" i="21"/>
  <c r="K71" i="21"/>
  <c r="J71" i="21"/>
  <c r="AE70" i="21"/>
  <c r="AD70" i="21"/>
  <c r="AC70" i="21"/>
  <c r="U70" i="21"/>
  <c r="T70" i="21"/>
  <c r="N70" i="21"/>
  <c r="M70" i="21"/>
  <c r="K70" i="21"/>
  <c r="J70" i="21"/>
  <c r="AE69" i="21"/>
  <c r="AD69" i="21"/>
  <c r="AC69" i="21"/>
  <c r="U69" i="21"/>
  <c r="T69" i="21"/>
  <c r="N69" i="21"/>
  <c r="M69" i="21"/>
  <c r="K69" i="21"/>
  <c r="AG69" i="21"/>
  <c r="J69" i="21"/>
  <c r="AE68" i="21"/>
  <c r="AD68" i="21"/>
  <c r="AC68" i="21"/>
  <c r="U68" i="21"/>
  <c r="T68" i="21"/>
  <c r="N68" i="21"/>
  <c r="M68" i="21"/>
  <c r="K68" i="21"/>
  <c r="AG68" i="21"/>
  <c r="J68" i="21"/>
  <c r="AE67" i="21"/>
  <c r="AD67" i="21"/>
  <c r="AC67" i="21"/>
  <c r="U67" i="21"/>
  <c r="T67" i="21"/>
  <c r="N67" i="21"/>
  <c r="M67" i="21"/>
  <c r="K67" i="21"/>
  <c r="J67" i="21"/>
  <c r="AE66" i="21"/>
  <c r="AD66" i="21"/>
  <c r="AC66" i="21"/>
  <c r="U66" i="21"/>
  <c r="T66" i="21"/>
  <c r="N66" i="21"/>
  <c r="M66" i="21"/>
  <c r="K66" i="21"/>
  <c r="J66" i="21"/>
  <c r="AE65" i="21"/>
  <c r="AD65" i="21"/>
  <c r="AC65" i="21"/>
  <c r="U65" i="21"/>
  <c r="T65" i="21"/>
  <c r="N65" i="21"/>
  <c r="M65" i="21"/>
  <c r="K65" i="21"/>
  <c r="J65" i="21"/>
  <c r="AF65" i="21"/>
  <c r="AE64" i="21"/>
  <c r="AD64" i="21"/>
  <c r="AC64" i="21"/>
  <c r="U64" i="21"/>
  <c r="T64" i="21"/>
  <c r="N64" i="21"/>
  <c r="M64" i="21"/>
  <c r="K64" i="21"/>
  <c r="J64" i="21"/>
  <c r="AE63" i="21"/>
  <c r="AD63" i="21"/>
  <c r="AC63" i="21"/>
  <c r="U63" i="21"/>
  <c r="T63" i="21"/>
  <c r="N63" i="21"/>
  <c r="AG63" i="21"/>
  <c r="M63" i="21"/>
  <c r="K63" i="21"/>
  <c r="J63" i="21"/>
  <c r="AE62" i="21"/>
  <c r="AD62" i="21"/>
  <c r="AC62" i="21"/>
  <c r="U62" i="21"/>
  <c r="T62" i="21"/>
  <c r="N62" i="21"/>
  <c r="AG62" i="21"/>
  <c r="M62" i="21"/>
  <c r="K62" i="21"/>
  <c r="J62" i="21"/>
  <c r="AF62" i="21"/>
  <c r="AE61" i="21"/>
  <c r="AD61" i="21"/>
  <c r="AC61" i="21"/>
  <c r="U61" i="21"/>
  <c r="T61" i="21"/>
  <c r="N61" i="21"/>
  <c r="M61" i="21"/>
  <c r="K61" i="21"/>
  <c r="J61" i="21"/>
  <c r="AF61" i="21"/>
  <c r="AE60" i="21"/>
  <c r="AD60" i="21"/>
  <c r="AC60" i="21"/>
  <c r="U60" i="21"/>
  <c r="T60" i="21"/>
  <c r="N60" i="21"/>
  <c r="M60" i="21"/>
  <c r="K60" i="21"/>
  <c r="J60" i="21"/>
  <c r="AE59" i="21"/>
  <c r="AD59" i="21"/>
  <c r="AC59" i="21"/>
  <c r="U59" i="21"/>
  <c r="T59" i="21"/>
  <c r="N59" i="21"/>
  <c r="AG59" i="21"/>
  <c r="M59" i="21"/>
  <c r="K59" i="21"/>
  <c r="J59" i="21"/>
  <c r="AE58" i="21"/>
  <c r="AD58" i="21"/>
  <c r="AC58" i="21"/>
  <c r="U58" i="21"/>
  <c r="T58" i="21"/>
  <c r="N58" i="21"/>
  <c r="AG58" i="21"/>
  <c r="M58" i="21"/>
  <c r="K58" i="21"/>
  <c r="J58" i="21"/>
  <c r="AF58" i="21"/>
  <c r="AE57" i="21"/>
  <c r="AD57" i="21"/>
  <c r="AC57" i="21"/>
  <c r="U57" i="21"/>
  <c r="T57" i="21"/>
  <c r="N57" i="21"/>
  <c r="M57" i="21"/>
  <c r="K57" i="21"/>
  <c r="J57" i="21"/>
  <c r="AF57" i="21"/>
  <c r="AE56" i="21"/>
  <c r="AD56" i="21"/>
  <c r="AC56" i="21"/>
  <c r="U56" i="21"/>
  <c r="T56" i="21"/>
  <c r="N56" i="21"/>
  <c r="M56" i="21"/>
  <c r="K56" i="21"/>
  <c r="J56" i="21"/>
  <c r="AE55" i="21"/>
  <c r="AD55" i="21"/>
  <c r="AC55" i="21"/>
  <c r="U55" i="21"/>
  <c r="T55" i="21"/>
  <c r="N55" i="21"/>
  <c r="AG55" i="21"/>
  <c r="M55" i="21"/>
  <c r="K55" i="21"/>
  <c r="J55" i="21"/>
  <c r="AE54" i="21"/>
  <c r="AD54" i="21"/>
  <c r="AC54" i="21"/>
  <c r="U54" i="21"/>
  <c r="T54" i="21"/>
  <c r="N54" i="21"/>
  <c r="AG54" i="21"/>
  <c r="M54" i="21"/>
  <c r="K54" i="21"/>
  <c r="J54" i="21"/>
  <c r="AF54" i="21"/>
  <c r="AE53" i="21"/>
  <c r="AD53" i="21"/>
  <c r="AC53" i="21"/>
  <c r="U53" i="21"/>
  <c r="T53" i="21"/>
  <c r="N53" i="21"/>
  <c r="M53" i="21"/>
  <c r="K53" i="21"/>
  <c r="J53" i="21"/>
  <c r="AF53" i="21"/>
  <c r="AE52" i="21"/>
  <c r="AD52" i="21"/>
  <c r="AC52" i="21"/>
  <c r="U52" i="21"/>
  <c r="T52" i="21"/>
  <c r="N52" i="21"/>
  <c r="M52" i="21"/>
  <c r="K52" i="21"/>
  <c r="J52" i="21"/>
  <c r="AE51" i="21"/>
  <c r="AD51" i="21"/>
  <c r="AC51" i="21"/>
  <c r="U51" i="21"/>
  <c r="T51" i="21"/>
  <c r="N51" i="21"/>
  <c r="AG51" i="21"/>
  <c r="M51" i="21"/>
  <c r="K51" i="21"/>
  <c r="J51" i="21"/>
  <c r="AE50" i="21"/>
  <c r="AD50" i="21"/>
  <c r="AC50" i="21"/>
  <c r="U50" i="21"/>
  <c r="T50" i="21"/>
  <c r="N50" i="21"/>
  <c r="AG50" i="21"/>
  <c r="M50" i="21"/>
  <c r="K50" i="21"/>
  <c r="J50" i="21"/>
  <c r="AF50" i="21"/>
  <c r="AE49" i="21"/>
  <c r="AD49" i="21"/>
  <c r="AC49" i="21"/>
  <c r="U49" i="21"/>
  <c r="T49" i="21"/>
  <c r="N49" i="21"/>
  <c r="M49" i="21"/>
  <c r="K49" i="21"/>
  <c r="J49" i="21"/>
  <c r="AF49" i="21"/>
  <c r="AE48" i="21"/>
  <c r="AD48" i="21"/>
  <c r="AC48" i="21"/>
  <c r="U48" i="21"/>
  <c r="T48" i="21"/>
  <c r="N48" i="21"/>
  <c r="M48" i="21"/>
  <c r="K48" i="21"/>
  <c r="J48" i="21"/>
  <c r="AE47" i="21"/>
  <c r="AD47" i="21"/>
  <c r="AC47" i="21"/>
  <c r="U47" i="21"/>
  <c r="T47" i="21"/>
  <c r="N47" i="21"/>
  <c r="AG47" i="21"/>
  <c r="M47" i="21"/>
  <c r="K47" i="21"/>
  <c r="J47" i="21"/>
  <c r="AE46" i="21"/>
  <c r="AD46" i="21"/>
  <c r="AC46" i="21"/>
  <c r="U46" i="21"/>
  <c r="T46" i="21"/>
  <c r="N46" i="21"/>
  <c r="AG46" i="21"/>
  <c r="M46" i="21"/>
  <c r="K46" i="21"/>
  <c r="J46" i="21"/>
  <c r="AF46" i="21"/>
  <c r="AE45" i="21"/>
  <c r="AD45" i="21"/>
  <c r="AC45" i="21"/>
  <c r="U45" i="21"/>
  <c r="T45" i="21"/>
  <c r="N45" i="21"/>
  <c r="M45" i="21"/>
  <c r="K45" i="21"/>
  <c r="J45" i="21"/>
  <c r="AF45" i="21"/>
  <c r="AE44" i="21"/>
  <c r="AD44" i="21"/>
  <c r="AC44" i="21"/>
  <c r="U44" i="21"/>
  <c r="T44" i="21"/>
  <c r="N44" i="21"/>
  <c r="M44" i="21"/>
  <c r="K44" i="21"/>
  <c r="J44" i="21"/>
  <c r="AE43" i="21"/>
  <c r="AD43" i="21"/>
  <c r="AC43" i="21"/>
  <c r="U43" i="21"/>
  <c r="T43" i="21"/>
  <c r="N43" i="21"/>
  <c r="AG43" i="21"/>
  <c r="M43" i="21"/>
  <c r="K43" i="21"/>
  <c r="J43" i="21"/>
  <c r="AE42" i="21"/>
  <c r="AD42" i="21"/>
  <c r="AC42" i="21"/>
  <c r="U42" i="21"/>
  <c r="T42" i="21"/>
  <c r="N42" i="21"/>
  <c r="AG42" i="21"/>
  <c r="M42" i="21"/>
  <c r="K42" i="21"/>
  <c r="J42" i="21"/>
  <c r="AF42" i="21"/>
  <c r="AE41" i="21"/>
  <c r="AD41" i="21"/>
  <c r="AC41" i="21"/>
  <c r="U41" i="21"/>
  <c r="T41" i="21"/>
  <c r="N41" i="21"/>
  <c r="M41" i="21"/>
  <c r="K41" i="21"/>
  <c r="J41" i="21"/>
  <c r="AF41" i="21"/>
  <c r="AE40" i="21"/>
  <c r="AD40" i="21"/>
  <c r="AC40" i="21"/>
  <c r="U40" i="21"/>
  <c r="T40" i="21"/>
  <c r="N40" i="21"/>
  <c r="M40" i="21"/>
  <c r="K40" i="21"/>
  <c r="J40" i="21"/>
  <c r="AE39" i="21"/>
  <c r="AD39" i="21"/>
  <c r="AC39" i="21"/>
  <c r="U39" i="21"/>
  <c r="T39" i="21"/>
  <c r="N39" i="21"/>
  <c r="AG39" i="21"/>
  <c r="M39" i="21"/>
  <c r="K39" i="21"/>
  <c r="J39" i="21"/>
  <c r="AE38" i="21"/>
  <c r="AD38" i="21"/>
  <c r="AC38" i="21"/>
  <c r="U38" i="21"/>
  <c r="T38" i="21"/>
  <c r="N38" i="21"/>
  <c r="AG38" i="21"/>
  <c r="M38" i="21"/>
  <c r="K38" i="21"/>
  <c r="J38" i="21"/>
  <c r="AF38" i="21"/>
  <c r="AE37" i="21"/>
  <c r="AD37" i="21"/>
  <c r="AC37" i="21"/>
  <c r="U37" i="21"/>
  <c r="T37" i="21"/>
  <c r="N37" i="21"/>
  <c r="M37" i="21"/>
  <c r="K37" i="21"/>
  <c r="J37" i="21"/>
  <c r="AF37" i="21"/>
  <c r="AE36" i="21"/>
  <c r="AD36" i="21"/>
  <c r="AC36" i="21"/>
  <c r="U36" i="21"/>
  <c r="T36" i="21"/>
  <c r="N36" i="21"/>
  <c r="M36" i="21"/>
  <c r="K36" i="21"/>
  <c r="J36" i="21"/>
  <c r="AE35" i="21"/>
  <c r="AD35" i="21"/>
  <c r="AC35" i="21"/>
  <c r="U35" i="21"/>
  <c r="T35" i="21"/>
  <c r="N35" i="21"/>
  <c r="AG35" i="21"/>
  <c r="M35" i="21"/>
  <c r="K35" i="21"/>
  <c r="J35" i="21"/>
  <c r="AE34" i="21"/>
  <c r="AD34" i="21"/>
  <c r="AC34" i="21"/>
  <c r="U34" i="21"/>
  <c r="T34" i="21"/>
  <c r="N34" i="21"/>
  <c r="AG34" i="21"/>
  <c r="M34" i="21"/>
  <c r="K34" i="21"/>
  <c r="J34" i="21"/>
  <c r="AF34" i="21"/>
  <c r="AE33" i="21"/>
  <c r="AD33" i="21"/>
  <c r="AC33" i="21"/>
  <c r="U33" i="21"/>
  <c r="T33" i="21"/>
  <c r="N33" i="21"/>
  <c r="M33" i="21"/>
  <c r="K33" i="21"/>
  <c r="J33" i="21"/>
  <c r="AF33" i="21"/>
  <c r="AE32" i="21"/>
  <c r="AD32" i="21"/>
  <c r="AC32" i="21"/>
  <c r="U32" i="21"/>
  <c r="T32" i="21"/>
  <c r="N32" i="21"/>
  <c r="M32" i="21"/>
  <c r="K32" i="21"/>
  <c r="J32" i="21"/>
  <c r="AE31" i="21"/>
  <c r="AD31" i="21"/>
  <c r="AC31" i="21"/>
  <c r="U31" i="21"/>
  <c r="T31" i="21"/>
  <c r="N31" i="21"/>
  <c r="AG31" i="21"/>
  <c r="M31" i="21"/>
  <c r="K31" i="21"/>
  <c r="J31" i="21"/>
  <c r="AE30" i="21"/>
  <c r="AD30" i="21"/>
  <c r="AC30" i="21"/>
  <c r="AC138" i="21"/>
  <c r="U30" i="21"/>
  <c r="T30" i="21"/>
  <c r="N30" i="21"/>
  <c r="N138" i="21"/>
  <c r="M30" i="21"/>
  <c r="K30" i="21"/>
  <c r="J30" i="21"/>
  <c r="AE29" i="21"/>
  <c r="AD29" i="21"/>
  <c r="AC29" i="21"/>
  <c r="U29" i="21"/>
  <c r="T29" i="21"/>
  <c r="N29" i="21"/>
  <c r="M29" i="21"/>
  <c r="K29" i="21"/>
  <c r="J29" i="21"/>
  <c r="AF29" i="21"/>
  <c r="AE28" i="21"/>
  <c r="AD28" i="21"/>
  <c r="AC28" i="21"/>
  <c r="U28" i="21"/>
  <c r="T28" i="21"/>
  <c r="N28" i="21"/>
  <c r="M28" i="21"/>
  <c r="K28" i="21"/>
  <c r="J28" i="21"/>
  <c r="AE27" i="21"/>
  <c r="AD27" i="21"/>
  <c r="AC27" i="21"/>
  <c r="U27" i="21"/>
  <c r="T27" i="21"/>
  <c r="N27" i="21"/>
  <c r="M27" i="21"/>
  <c r="K27" i="21"/>
  <c r="J27" i="21"/>
  <c r="AE26" i="21"/>
  <c r="AD26" i="21"/>
  <c r="AC26" i="21"/>
  <c r="U26" i="21"/>
  <c r="T26" i="21"/>
  <c r="N26" i="21"/>
  <c r="AG26" i="21"/>
  <c r="M26" i="21"/>
  <c r="K26" i="21"/>
  <c r="J26" i="21"/>
  <c r="AE25" i="21"/>
  <c r="AD25" i="21"/>
  <c r="AC25" i="21"/>
  <c r="U25" i="21"/>
  <c r="T25" i="21"/>
  <c r="N25" i="21"/>
  <c r="M25" i="21"/>
  <c r="K25" i="21"/>
  <c r="J25" i="21"/>
  <c r="AF25" i="21"/>
  <c r="AE24" i="21"/>
  <c r="AD24" i="21"/>
  <c r="AC24" i="21"/>
  <c r="U24" i="21"/>
  <c r="T24" i="21"/>
  <c r="N24" i="21"/>
  <c r="M24" i="21"/>
  <c r="K24" i="21"/>
  <c r="J24" i="21"/>
  <c r="AE23" i="21"/>
  <c r="AD23" i="21"/>
  <c r="AC23" i="21"/>
  <c r="U23" i="21"/>
  <c r="T23" i="21"/>
  <c r="N23" i="21"/>
  <c r="M23" i="21"/>
  <c r="K23" i="21"/>
  <c r="J23" i="21"/>
  <c r="AE22" i="21"/>
  <c r="AD22" i="21"/>
  <c r="AC22" i="21"/>
  <c r="U22" i="21"/>
  <c r="T22" i="21"/>
  <c r="N22" i="21"/>
  <c r="AG22" i="21"/>
  <c r="M22" i="21"/>
  <c r="K22" i="21"/>
  <c r="J22" i="21"/>
  <c r="AE21" i="21"/>
  <c r="AD21" i="21"/>
  <c r="AC21" i="21"/>
  <c r="U21" i="21"/>
  <c r="T21" i="21"/>
  <c r="N21" i="21"/>
  <c r="M21" i="21"/>
  <c r="K21" i="21"/>
  <c r="J21" i="21"/>
  <c r="AF21" i="21"/>
  <c r="AE20" i="21"/>
  <c r="AD20" i="21"/>
  <c r="AC20" i="21"/>
  <c r="U20" i="21"/>
  <c r="T20" i="21"/>
  <c r="N20" i="21"/>
  <c r="M20" i="21"/>
  <c r="K20" i="21"/>
  <c r="J20" i="21"/>
  <c r="AE19" i="21"/>
  <c r="AD19" i="21"/>
  <c r="AC19" i="21"/>
  <c r="U19" i="21"/>
  <c r="T19" i="21"/>
  <c r="N19" i="21"/>
  <c r="M19" i="21"/>
  <c r="K19" i="21"/>
  <c r="J19" i="21"/>
  <c r="AE18" i="21"/>
  <c r="AD18" i="21"/>
  <c r="AC18" i="21"/>
  <c r="U18" i="21"/>
  <c r="T18" i="21"/>
  <c r="N18" i="21"/>
  <c r="AG18" i="21"/>
  <c r="M18" i="21"/>
  <c r="K18" i="21"/>
  <c r="J18" i="21"/>
  <c r="AE17" i="21"/>
  <c r="AD17" i="21"/>
  <c r="AC17" i="21"/>
  <c r="U17" i="21"/>
  <c r="T17" i="21"/>
  <c r="N17" i="21"/>
  <c r="M17" i="21"/>
  <c r="K17" i="21"/>
  <c r="J17" i="21"/>
  <c r="AF17" i="21"/>
  <c r="AE16" i="21"/>
  <c r="AD16" i="21"/>
  <c r="AC16" i="21"/>
  <c r="U16" i="21"/>
  <c r="T16" i="21"/>
  <c r="N16" i="21"/>
  <c r="M16" i="21"/>
  <c r="K16" i="21"/>
  <c r="J16" i="21"/>
  <c r="AE15" i="21"/>
  <c r="AD15" i="21"/>
  <c r="AC15" i="21"/>
  <c r="U15" i="21"/>
  <c r="T15" i="21"/>
  <c r="N15" i="21"/>
  <c r="M15" i="21"/>
  <c r="K15" i="21"/>
  <c r="J15" i="21"/>
  <c r="AE14" i="21"/>
  <c r="AD14" i="21"/>
  <c r="AC14" i="21"/>
  <c r="U14" i="21"/>
  <c r="T14" i="21"/>
  <c r="N14" i="21"/>
  <c r="AG14" i="21"/>
  <c r="M14" i="21"/>
  <c r="K14" i="21"/>
  <c r="J14" i="21"/>
  <c r="AE13" i="21"/>
  <c r="AD13" i="21"/>
  <c r="AC13" i="21"/>
  <c r="U13" i="21"/>
  <c r="T13" i="21"/>
  <c r="N13" i="21"/>
  <c r="M13" i="21"/>
  <c r="K13" i="21"/>
  <c r="J13" i="21"/>
  <c r="AF13" i="21"/>
  <c r="AE12" i="21"/>
  <c r="AD12" i="21"/>
  <c r="AC12" i="21"/>
  <c r="U12" i="21"/>
  <c r="T12" i="21"/>
  <c r="N12" i="21"/>
  <c r="M12" i="21"/>
  <c r="K12" i="21"/>
  <c r="J12" i="21"/>
  <c r="AE11" i="21"/>
  <c r="AD11" i="21"/>
  <c r="AC11" i="21"/>
  <c r="U11" i="21"/>
  <c r="T11" i="21"/>
  <c r="N11" i="21"/>
  <c r="M11" i="21"/>
  <c r="K11" i="21"/>
  <c r="J11" i="21"/>
  <c r="AE10" i="21"/>
  <c r="AD10" i="21"/>
  <c r="AD137" i="21"/>
  <c r="AC10" i="21"/>
  <c r="AC137" i="21"/>
  <c r="U10" i="21"/>
  <c r="T10" i="21"/>
  <c r="N10" i="21"/>
  <c r="M10" i="21"/>
  <c r="K10" i="21"/>
  <c r="J10" i="21"/>
  <c r="AE9" i="21"/>
  <c r="AD9" i="21"/>
  <c r="AC9" i="21"/>
  <c r="U9" i="21"/>
  <c r="T9" i="21"/>
  <c r="N9" i="21"/>
  <c r="M9" i="21"/>
  <c r="K9" i="21"/>
  <c r="J9" i="21"/>
  <c r="AF9" i="21"/>
  <c r="AE8" i="21"/>
  <c r="AD8" i="21"/>
  <c r="AC8" i="21"/>
  <c r="U8" i="21"/>
  <c r="T8" i="21"/>
  <c r="N8" i="21"/>
  <c r="M8" i="21"/>
  <c r="K8" i="21"/>
  <c r="J8" i="21"/>
  <c r="AE7" i="21"/>
  <c r="AD7" i="21"/>
  <c r="AC7" i="21"/>
  <c r="AC139" i="21"/>
  <c r="U7" i="21"/>
  <c r="T7" i="21"/>
  <c r="N7" i="21"/>
  <c r="M7" i="21"/>
  <c r="M139" i="21"/>
  <c r="K7" i="21"/>
  <c r="J7" i="21"/>
  <c r="AE6" i="21"/>
  <c r="AD6" i="21"/>
  <c r="AC6" i="21"/>
  <c r="U6" i="21"/>
  <c r="T6" i="21"/>
  <c r="N6" i="21"/>
  <c r="AG6" i="21"/>
  <c r="M6" i="21"/>
  <c r="K6" i="21"/>
  <c r="J6" i="21"/>
  <c r="AE5" i="21"/>
  <c r="AD5" i="21"/>
  <c r="AC5" i="21"/>
  <c r="U5" i="21"/>
  <c r="T5" i="21"/>
  <c r="N5" i="21"/>
  <c r="M5" i="21"/>
  <c r="K5" i="21"/>
  <c r="J5" i="21"/>
  <c r="X164" i="22"/>
  <c r="W164" i="22"/>
  <c r="AB139" i="22"/>
  <c r="AG134" i="22"/>
  <c r="AG133" i="22"/>
  <c r="AA133" i="22"/>
  <c r="M132" i="22"/>
  <c r="H132" i="22"/>
  <c r="L132" i="22"/>
  <c r="L132" i="23" s="1"/>
  <c r="U132" i="23" s="1"/>
  <c r="H131" i="22"/>
  <c r="AJ131" i="22"/>
  <c r="L131" i="22"/>
  <c r="L131" i="23" s="1"/>
  <c r="U131" i="23" s="1"/>
  <c r="M130" i="22"/>
  <c r="AJ130" i="22"/>
  <c r="L130" i="22"/>
  <c r="L130" i="23" s="1"/>
  <c r="G130" i="22"/>
  <c r="H130" i="22"/>
  <c r="M128" i="22"/>
  <c r="P128" i="22"/>
  <c r="L128" i="22"/>
  <c r="L128" i="23" s="1"/>
  <c r="U128" i="23" s="1"/>
  <c r="AH127" i="22"/>
  <c r="H127" i="22"/>
  <c r="P127" i="22"/>
  <c r="G127" i="22"/>
  <c r="AJ126" i="22"/>
  <c r="AJ124" i="22"/>
  <c r="M124" i="22"/>
  <c r="L124" i="22"/>
  <c r="L124" i="23" s="1"/>
  <c r="AJ123" i="22"/>
  <c r="AH123" i="22"/>
  <c r="G123" i="22"/>
  <c r="AJ122" i="22"/>
  <c r="H122" i="22"/>
  <c r="G122" i="22"/>
  <c r="AH120" i="22"/>
  <c r="M120" i="22"/>
  <c r="H120" i="22"/>
  <c r="AJ119" i="22"/>
  <c r="S119" i="22"/>
  <c r="M118" i="22"/>
  <c r="H118" i="22"/>
  <c r="G118" i="22"/>
  <c r="AJ116" i="22"/>
  <c r="AH116" i="22"/>
  <c r="G116" i="22"/>
  <c r="AJ115" i="22"/>
  <c r="AH115" i="22"/>
  <c r="S115" i="22"/>
  <c r="L115" i="22"/>
  <c r="L115" i="23" s="1"/>
  <c r="U115" i="23" s="1"/>
  <c r="M114" i="22"/>
  <c r="H114" i="22"/>
  <c r="L114" i="22"/>
  <c r="L114" i="23" s="1"/>
  <c r="U114" i="23" s="1"/>
  <c r="P111" i="22"/>
  <c r="AJ111" i="22"/>
  <c r="G111" i="22"/>
  <c r="P110" i="22"/>
  <c r="AJ110" i="22"/>
  <c r="G110" i="22"/>
  <c r="L109" i="22"/>
  <c r="L109" i="23" s="1"/>
  <c r="G109" i="22"/>
  <c r="AH108" i="22"/>
  <c r="H108" i="22"/>
  <c r="P108" i="22"/>
  <c r="AJ108" i="22"/>
  <c r="AJ107" i="22"/>
  <c r="AH107" i="22"/>
  <c r="M107" i="22"/>
  <c r="G107" i="22"/>
  <c r="S106" i="22"/>
  <c r="AJ106" i="22"/>
  <c r="G106" i="22"/>
  <c r="AJ104" i="22"/>
  <c r="AH104" i="22"/>
  <c r="S103" i="22"/>
  <c r="AJ103" i="22"/>
  <c r="L103" i="22"/>
  <c r="L103" i="23" s="1"/>
  <c r="G103" i="22"/>
  <c r="M102" i="22"/>
  <c r="H102" i="22"/>
  <c r="AJ102" i="22"/>
  <c r="G102" i="22"/>
  <c r="M100" i="22"/>
  <c r="T100" i="22"/>
  <c r="AH100" i="22"/>
  <c r="S100" i="22"/>
  <c r="AH99" i="22"/>
  <c r="AJ99" i="22"/>
  <c r="P99" i="22"/>
  <c r="AJ98" i="22"/>
  <c r="G98" i="22"/>
  <c r="L97" i="22"/>
  <c r="L97" i="23" s="1"/>
  <c r="AH96" i="22"/>
  <c r="M96" i="22"/>
  <c r="AJ95" i="22"/>
  <c r="M94" i="22"/>
  <c r="G94" i="22"/>
  <c r="AJ92" i="22"/>
  <c r="AH92" i="22"/>
  <c r="AH91" i="22"/>
  <c r="G91" i="22"/>
  <c r="L91" i="22"/>
  <c r="L91" i="23" s="1"/>
  <c r="U91" i="23" s="1"/>
  <c r="AJ90" i="22"/>
  <c r="M90" i="22"/>
  <c r="L90" i="22"/>
  <c r="L90" i="23" s="1"/>
  <c r="U90" i="23" s="1"/>
  <c r="G90" i="22"/>
  <c r="AJ88" i="22"/>
  <c r="S88" i="22"/>
  <c r="L88" i="22"/>
  <c r="L88" i="23" s="1"/>
  <c r="AJ87" i="22"/>
  <c r="AH87" i="22"/>
  <c r="G87" i="22"/>
  <c r="AJ86" i="22"/>
  <c r="S86" i="22"/>
  <c r="L86" i="22"/>
  <c r="L86" i="23" s="1"/>
  <c r="U86" i="23" s="1"/>
  <c r="G85" i="22"/>
  <c r="M84" i="22"/>
  <c r="AJ84" i="22"/>
  <c r="L84" i="22"/>
  <c r="L84" i="23" s="1"/>
  <c r="U84" i="23" s="1"/>
  <c r="AJ83" i="22"/>
  <c r="G83" i="22"/>
  <c r="AJ82" i="22"/>
  <c r="L82" i="22"/>
  <c r="L82" i="23" s="1"/>
  <c r="U82" i="23" s="1"/>
  <c r="AH81" i="22"/>
  <c r="AJ80" i="22"/>
  <c r="T80" i="22"/>
  <c r="AH80" i="22"/>
  <c r="S80" i="22"/>
  <c r="G79" i="22"/>
  <c r="AJ78" i="22"/>
  <c r="G77" i="22"/>
  <c r="AH76" i="22"/>
  <c r="AJ75" i="22"/>
  <c r="AH75" i="22"/>
  <c r="G75" i="22"/>
  <c r="H74" i="22"/>
  <c r="G74" i="22"/>
  <c r="L73" i="22"/>
  <c r="L73" i="23" s="1"/>
  <c r="AH72" i="22"/>
  <c r="H72" i="22"/>
  <c r="AJ71" i="22"/>
  <c r="AH71" i="22"/>
  <c r="G71" i="22"/>
  <c r="H70" i="22"/>
  <c r="G70" i="22"/>
  <c r="AH68" i="22"/>
  <c r="H68" i="22"/>
  <c r="P68" i="22"/>
  <c r="AJ67" i="22"/>
  <c r="AH67" i="22"/>
  <c r="H67" i="22"/>
  <c r="G67" i="22"/>
  <c r="AJ66" i="22"/>
  <c r="P66" i="22"/>
  <c r="R140" i="22"/>
  <c r="L65" i="22"/>
  <c r="L65" i="23" s="1"/>
  <c r="G65" i="22"/>
  <c r="AJ64" i="22"/>
  <c r="AH64" i="22"/>
  <c r="S64" i="22"/>
  <c r="AH63" i="22"/>
  <c r="H63" i="22"/>
  <c r="AJ63" i="22"/>
  <c r="G63" i="22"/>
  <c r="AJ62" i="22"/>
  <c r="AH62" i="22"/>
  <c r="AJ60" i="22"/>
  <c r="M60" i="22"/>
  <c r="L60" i="22"/>
  <c r="L60" i="23" s="1"/>
  <c r="U60" i="23" s="1"/>
  <c r="AH59" i="22"/>
  <c r="G59" i="22"/>
  <c r="AJ58" i="22"/>
  <c r="M58" i="22"/>
  <c r="L58" i="22"/>
  <c r="L58" i="23" s="1"/>
  <c r="U58" i="23" s="1"/>
  <c r="AH56" i="22"/>
  <c r="AJ56" i="22"/>
  <c r="L56" i="22"/>
  <c r="L56" i="23" s="1"/>
  <c r="U56" i="23" s="1"/>
  <c r="AJ55" i="22"/>
  <c r="AH55" i="22"/>
  <c r="S55" i="22"/>
  <c r="AH54" i="22"/>
  <c r="AJ54" i="22"/>
  <c r="L54" i="22"/>
  <c r="L54" i="23" s="1"/>
  <c r="G54" i="22"/>
  <c r="AJ53" i="22"/>
  <c r="AJ52" i="22"/>
  <c r="AH52" i="22"/>
  <c r="M52" i="22"/>
  <c r="L52" i="22"/>
  <c r="L52" i="23" s="1"/>
  <c r="AJ51" i="22"/>
  <c r="T51" i="22"/>
  <c r="AH51" i="22"/>
  <c r="S51" i="22"/>
  <c r="AJ50" i="22"/>
  <c r="M50" i="22"/>
  <c r="H50" i="22"/>
  <c r="L50" i="22"/>
  <c r="L50" i="23" s="1"/>
  <c r="U50" i="23" s="1"/>
  <c r="G50" i="22"/>
  <c r="AH48" i="22"/>
  <c r="G48" i="22"/>
  <c r="M48" i="22"/>
  <c r="L48" i="22"/>
  <c r="L48" i="23" s="1"/>
  <c r="U48" i="23" s="1"/>
  <c r="AJ47" i="22"/>
  <c r="AH47" i="22"/>
  <c r="S47" i="22"/>
  <c r="H46" i="22"/>
  <c r="L46" i="22"/>
  <c r="L46" i="23" s="1"/>
  <c r="U46" i="23" s="1"/>
  <c r="G46" i="22"/>
  <c r="AH44" i="22"/>
  <c r="L44" i="22"/>
  <c r="L44" i="23" s="1"/>
  <c r="AJ43" i="22"/>
  <c r="AH43" i="22"/>
  <c r="H43" i="22"/>
  <c r="G43" i="22"/>
  <c r="AJ42" i="22"/>
  <c r="AH42" i="22"/>
  <c r="L42" i="22"/>
  <c r="L42" i="23" s="1"/>
  <c r="U42" i="23" s="1"/>
  <c r="AJ40" i="22"/>
  <c r="AH40" i="22"/>
  <c r="L40" i="22"/>
  <c r="L40" i="23" s="1"/>
  <c r="U40" i="23" s="1"/>
  <c r="P40" i="22"/>
  <c r="AJ39" i="22"/>
  <c r="AH39" i="22"/>
  <c r="G39" i="22"/>
  <c r="AJ38" i="22"/>
  <c r="T38" i="22"/>
  <c r="M38" i="22"/>
  <c r="S38" i="22"/>
  <c r="AH36" i="22"/>
  <c r="L36" i="22"/>
  <c r="L36" i="23" s="1"/>
  <c r="U36" i="23" s="1"/>
  <c r="AJ35" i="22"/>
  <c r="AH35" i="22"/>
  <c r="S35" i="22"/>
  <c r="AJ34" i="22"/>
  <c r="H34" i="22"/>
  <c r="G34" i="22"/>
  <c r="L33" i="22"/>
  <c r="L33" i="23" s="1"/>
  <c r="AH32" i="22"/>
  <c r="G32" i="22"/>
  <c r="AJ31" i="22"/>
  <c r="AH31" i="22"/>
  <c r="H31" i="22"/>
  <c r="G31" i="22"/>
  <c r="AJ30" i="22"/>
  <c r="L30" i="22"/>
  <c r="L30" i="23" s="1"/>
  <c r="U30" i="23" s="1"/>
  <c r="AJ28" i="22"/>
  <c r="M28" i="22"/>
  <c r="L28" i="22"/>
  <c r="L28" i="23" s="1"/>
  <c r="G28" i="22"/>
  <c r="G27" i="22"/>
  <c r="P27" i="22"/>
  <c r="AJ26" i="22"/>
  <c r="G26" i="22"/>
  <c r="AJ24" i="22"/>
  <c r="AH24" i="22"/>
  <c r="M24" i="22"/>
  <c r="L24" i="22"/>
  <c r="L24" i="23" s="1"/>
  <c r="U24" i="23" s="1"/>
  <c r="AH23" i="22"/>
  <c r="H23" i="22"/>
  <c r="S23" i="22"/>
  <c r="G23" i="22"/>
  <c r="M22" i="22"/>
  <c r="H22" i="22"/>
  <c r="AJ20" i="22"/>
  <c r="AH20" i="22"/>
  <c r="AJ19" i="22"/>
  <c r="H19" i="22"/>
  <c r="AJ18" i="22"/>
  <c r="AH18" i="22"/>
  <c r="M18" i="22"/>
  <c r="H18" i="22"/>
  <c r="L18" i="22"/>
  <c r="L18" i="23" s="1"/>
  <c r="U18" i="23" s="1"/>
  <c r="G18" i="22"/>
  <c r="AJ16" i="22"/>
  <c r="AH16" i="22"/>
  <c r="M16" i="22"/>
  <c r="L16" i="22"/>
  <c r="L16" i="23" s="1"/>
  <c r="U16" i="23" s="1"/>
  <c r="AJ15" i="22"/>
  <c r="AH15" i="22"/>
  <c r="G15" i="22"/>
  <c r="H15" i="22"/>
  <c r="AJ14" i="22"/>
  <c r="M14" i="22"/>
  <c r="H14" i="22"/>
  <c r="G14" i="22"/>
  <c r="G13" i="22"/>
  <c r="AH12" i="22"/>
  <c r="S12" i="22"/>
  <c r="AJ12" i="22"/>
  <c r="M12" i="22"/>
  <c r="AJ11" i="22"/>
  <c r="S11" i="22"/>
  <c r="G11" i="22"/>
  <c r="H11" i="22"/>
  <c r="AH10" i="22"/>
  <c r="AJ10" i="22"/>
  <c r="G9" i="22"/>
  <c r="AJ8" i="22"/>
  <c r="AH8" i="22"/>
  <c r="AJ7" i="22"/>
  <c r="V141" i="22"/>
  <c r="S7" i="22"/>
  <c r="K141" i="22"/>
  <c r="M6" i="22"/>
  <c r="H6" i="22"/>
  <c r="AJ6" i="22"/>
  <c r="L6" i="22"/>
  <c r="L6" i="23" s="1"/>
  <c r="U6" i="23" s="1"/>
  <c r="G6" i="22"/>
  <c r="AJ5" i="22"/>
  <c r="AD5" i="22"/>
  <c r="S5" i="22"/>
  <c r="L5" i="22"/>
  <c r="L5" i="23" s="1"/>
  <c r="U5" i="23" s="1"/>
  <c r="V140" i="23"/>
  <c r="V139" i="23"/>
  <c r="V138" i="23"/>
  <c r="O138" i="23"/>
  <c r="P138" i="23"/>
  <c r="G138" i="23"/>
  <c r="V137" i="23"/>
  <c r="R137" i="23"/>
  <c r="O137" i="23"/>
  <c r="K137" i="23"/>
  <c r="G137" i="23"/>
  <c r="V136" i="23"/>
  <c r="R136" i="23"/>
  <c r="O136" i="23"/>
  <c r="O139" i="23"/>
  <c r="K136" i="23"/>
  <c r="G136" i="23"/>
  <c r="U130" i="23"/>
  <c r="U126" i="23"/>
  <c r="U103" i="23"/>
  <c r="U83" i="23"/>
  <c r="U54" i="23"/>
  <c r="U52" i="23"/>
  <c r="U34" i="23"/>
  <c r="U28" i="23"/>
  <c r="U19" i="23"/>
  <c r="U8" i="23"/>
  <c r="U138" i="24"/>
  <c r="U144" i="24"/>
  <c r="T138" i="24"/>
  <c r="T144" i="24"/>
  <c r="S138" i="24"/>
  <c r="S144" i="24"/>
  <c r="R138" i="24"/>
  <c r="R144" i="24"/>
  <c r="Q138" i="24"/>
  <c r="Q144" i="24"/>
  <c r="P138" i="24"/>
  <c r="P144" i="24"/>
  <c r="O138" i="24"/>
  <c r="O144" i="24"/>
  <c r="N138" i="24"/>
  <c r="N144" i="24"/>
  <c r="M138" i="24"/>
  <c r="M144" i="24"/>
  <c r="L138" i="24"/>
  <c r="L144" i="24"/>
  <c r="K138" i="24"/>
  <c r="K144" i="24"/>
  <c r="J138" i="24"/>
  <c r="J144" i="24"/>
  <c r="I138" i="24"/>
  <c r="I144" i="24"/>
  <c r="H138" i="24"/>
  <c r="H144" i="24"/>
  <c r="G138" i="24"/>
  <c r="G144" i="24"/>
  <c r="F138" i="24"/>
  <c r="F144" i="24"/>
  <c r="E138" i="24"/>
  <c r="E144" i="24"/>
  <c r="U137" i="24"/>
  <c r="U143" i="24"/>
  <c r="T137" i="24"/>
  <c r="T143" i="24"/>
  <c r="S137" i="24"/>
  <c r="S143" i="24"/>
  <c r="R137" i="24"/>
  <c r="R143" i="24"/>
  <c r="Q137" i="24"/>
  <c r="Q143" i="24"/>
  <c r="P137" i="24"/>
  <c r="P143" i="24"/>
  <c r="O137" i="24"/>
  <c r="O143" i="24"/>
  <c r="N137" i="24"/>
  <c r="N143" i="24"/>
  <c r="M137" i="24"/>
  <c r="M143" i="24"/>
  <c r="L137" i="24"/>
  <c r="L143" i="24"/>
  <c r="K137" i="24"/>
  <c r="K143" i="24"/>
  <c r="J137" i="24"/>
  <c r="J143" i="24"/>
  <c r="I137" i="24"/>
  <c r="I143" i="24"/>
  <c r="H137" i="24"/>
  <c r="H143" i="24"/>
  <c r="G137" i="24"/>
  <c r="G143" i="24"/>
  <c r="F137" i="24"/>
  <c r="F143" i="24"/>
  <c r="E137" i="24"/>
  <c r="E143" i="24"/>
  <c r="U136" i="24"/>
  <c r="U142" i="24"/>
  <c r="T136" i="24"/>
  <c r="T142" i="24"/>
  <c r="S136" i="24"/>
  <c r="S142" i="24"/>
  <c r="R136" i="24"/>
  <c r="R142" i="24"/>
  <c r="Q136" i="24"/>
  <c r="Q142" i="24"/>
  <c r="P136" i="24"/>
  <c r="P142" i="24"/>
  <c r="O136" i="24"/>
  <c r="O142" i="24"/>
  <c r="N136" i="24"/>
  <c r="N142" i="24"/>
  <c r="M136" i="24"/>
  <c r="M142" i="24"/>
  <c r="L136" i="24"/>
  <c r="L142" i="24"/>
  <c r="K136" i="24"/>
  <c r="K142" i="24"/>
  <c r="J136" i="24"/>
  <c r="J142" i="24"/>
  <c r="I136" i="24"/>
  <c r="I142" i="24"/>
  <c r="H136" i="24"/>
  <c r="H142" i="24"/>
  <c r="G136" i="24"/>
  <c r="G142" i="24"/>
  <c r="F136" i="24"/>
  <c r="F142" i="24"/>
  <c r="E136" i="24"/>
  <c r="E142" i="24"/>
  <c r="U135" i="24"/>
  <c r="U141" i="24"/>
  <c r="T135" i="24"/>
  <c r="T141" i="24"/>
  <c r="S135" i="24"/>
  <c r="S141" i="24"/>
  <c r="R135" i="24"/>
  <c r="R139" i="24"/>
  <c r="R145" i="24"/>
  <c r="Q135" i="24"/>
  <c r="Q141" i="24"/>
  <c r="P135" i="24"/>
  <c r="P141" i="24"/>
  <c r="O135" i="24"/>
  <c r="N135" i="24"/>
  <c r="N139" i="24"/>
  <c r="N145" i="24"/>
  <c r="M135" i="24"/>
  <c r="M141" i="24"/>
  <c r="L135" i="24"/>
  <c r="L141" i="24"/>
  <c r="K135" i="24"/>
  <c r="K141" i="24"/>
  <c r="J135" i="24"/>
  <c r="J139" i="24"/>
  <c r="J145" i="24"/>
  <c r="I135" i="24"/>
  <c r="I141" i="24"/>
  <c r="H135" i="24"/>
  <c r="H141" i="24"/>
  <c r="G135" i="24"/>
  <c r="G141" i="24"/>
  <c r="F135" i="24"/>
  <c r="F139" i="24"/>
  <c r="F145" i="24"/>
  <c r="E135" i="24"/>
  <c r="E141" i="24"/>
  <c r="U133" i="24"/>
  <c r="T133" i="24"/>
  <c r="S133" i="24"/>
  <c r="R133" i="24"/>
  <c r="Q133" i="24"/>
  <c r="P133" i="24"/>
  <c r="O133" i="24"/>
  <c r="N133" i="24"/>
  <c r="M133" i="24"/>
  <c r="L133" i="24"/>
  <c r="K133" i="24"/>
  <c r="J133" i="24"/>
  <c r="I133" i="24"/>
  <c r="H133" i="24"/>
  <c r="G133" i="24"/>
  <c r="F133" i="24"/>
  <c r="E133" i="24"/>
  <c r="J35" i="25"/>
  <c r="G35" i="25"/>
  <c r="F35" i="25"/>
  <c r="E35" i="25"/>
  <c r="J34" i="25"/>
  <c r="G34" i="25"/>
  <c r="F34" i="25"/>
  <c r="E34" i="25"/>
  <c r="J33" i="25"/>
  <c r="G33" i="25"/>
  <c r="F33" i="25"/>
  <c r="E33" i="25"/>
  <c r="J32" i="25"/>
  <c r="G32" i="25"/>
  <c r="F32" i="25"/>
  <c r="E32" i="25"/>
  <c r="J31" i="25"/>
  <c r="G31" i="25"/>
  <c r="F31" i="25"/>
  <c r="E31" i="25"/>
  <c r="J30" i="25"/>
  <c r="G30" i="25"/>
  <c r="F30" i="25"/>
  <c r="E30" i="25"/>
  <c r="K29" i="25"/>
  <c r="I29" i="25"/>
  <c r="H29" i="25"/>
  <c r="K28" i="25"/>
  <c r="I28" i="25"/>
  <c r="H28" i="25"/>
  <c r="K27" i="25"/>
  <c r="I27" i="25"/>
  <c r="H27" i="25"/>
  <c r="K26" i="25"/>
  <c r="I26" i="25"/>
  <c r="H26" i="25"/>
  <c r="K25" i="25"/>
  <c r="I25" i="25"/>
  <c r="H25" i="25"/>
  <c r="K24" i="25"/>
  <c r="I24" i="25"/>
  <c r="H24" i="25"/>
  <c r="K23" i="25"/>
  <c r="I23" i="25"/>
  <c r="H23" i="25"/>
  <c r="K22" i="25"/>
  <c r="I22" i="25"/>
  <c r="H22" i="25"/>
  <c r="K21" i="25"/>
  <c r="I21" i="25"/>
  <c r="H21" i="25"/>
  <c r="M20" i="25"/>
  <c r="I20" i="25"/>
  <c r="H20" i="25"/>
  <c r="K19" i="25"/>
  <c r="M19" i="25"/>
  <c r="I19" i="25"/>
  <c r="H19" i="25"/>
  <c r="K18" i="25"/>
  <c r="M18" i="25"/>
  <c r="I18" i="25"/>
  <c r="H18" i="25"/>
  <c r="K17" i="25"/>
  <c r="M17" i="25"/>
  <c r="I17" i="25"/>
  <c r="H17" i="25"/>
  <c r="K16" i="25"/>
  <c r="M16" i="25"/>
  <c r="I16" i="25"/>
  <c r="H16" i="25"/>
  <c r="K15" i="25"/>
  <c r="M15" i="25"/>
  <c r="I15" i="25"/>
  <c r="H15" i="25"/>
  <c r="K14" i="25"/>
  <c r="M14" i="25"/>
  <c r="I14" i="25"/>
  <c r="H14" i="25"/>
  <c r="M13" i="25"/>
  <c r="L13" i="25"/>
  <c r="L35" i="25"/>
  <c r="I13" i="25"/>
  <c r="H13" i="25"/>
  <c r="K12" i="25"/>
  <c r="M12" i="25"/>
  <c r="I12" i="25"/>
  <c r="H12" i="25"/>
  <c r="K11" i="25"/>
  <c r="M11" i="25"/>
  <c r="I11" i="25"/>
  <c r="H11" i="25"/>
  <c r="K10" i="25"/>
  <c r="M10" i="25"/>
  <c r="I10" i="25"/>
  <c r="H10" i="25"/>
  <c r="K9" i="25"/>
  <c r="M9" i="25"/>
  <c r="I9" i="25"/>
  <c r="H9" i="25"/>
  <c r="K8" i="25"/>
  <c r="M8" i="25"/>
  <c r="I8" i="25"/>
  <c r="H8" i="25"/>
  <c r="K7" i="25"/>
  <c r="M7" i="25"/>
  <c r="I7" i="25"/>
  <c r="H7" i="25"/>
  <c r="K6" i="25"/>
  <c r="M6" i="25"/>
  <c r="I6" i="25"/>
  <c r="H6" i="25"/>
  <c r="K5" i="25"/>
  <c r="K31" i="25"/>
  <c r="M31" i="25"/>
  <c r="I5" i="25"/>
  <c r="E180" i="19"/>
  <c r="E172" i="19"/>
  <c r="E165" i="19"/>
  <c r="E158" i="19"/>
  <c r="Z154" i="19"/>
  <c r="X154" i="19"/>
  <c r="W154" i="19"/>
  <c r="V154" i="19"/>
  <c r="Z153" i="19"/>
  <c r="X153" i="19"/>
  <c r="W153" i="19"/>
  <c r="V153" i="19"/>
  <c r="Z152" i="19"/>
  <c r="X152" i="19"/>
  <c r="W152" i="19"/>
  <c r="V152" i="19"/>
  <c r="Z151" i="19"/>
  <c r="X151" i="19"/>
  <c r="W151" i="19"/>
  <c r="V151" i="19"/>
  <c r="E151" i="19"/>
  <c r="Z149" i="19"/>
  <c r="X149" i="19"/>
  <c r="W149" i="19"/>
  <c r="V149" i="19"/>
  <c r="E144" i="19"/>
  <c r="AD140" i="19"/>
  <c r="AC140" i="19"/>
  <c r="AB140" i="19"/>
  <c r="T140" i="19"/>
  <c r="S140" i="19"/>
  <c r="R140" i="19"/>
  <c r="P140" i="19"/>
  <c r="O140" i="19"/>
  <c r="N140" i="19"/>
  <c r="L140" i="19"/>
  <c r="K140" i="19"/>
  <c r="J140" i="19"/>
  <c r="H140" i="19"/>
  <c r="F140" i="19"/>
  <c r="AD139" i="19"/>
  <c r="AC139" i="19"/>
  <c r="AB139" i="19"/>
  <c r="T139" i="19"/>
  <c r="S139" i="19"/>
  <c r="R139" i="19"/>
  <c r="P139" i="19"/>
  <c r="O139" i="19"/>
  <c r="N139" i="19"/>
  <c r="L139" i="19"/>
  <c r="K139" i="19"/>
  <c r="J139" i="19"/>
  <c r="H139" i="19"/>
  <c r="F139" i="19"/>
  <c r="AD138" i="19"/>
  <c r="AC138" i="19"/>
  <c r="AB138" i="19"/>
  <c r="T138" i="19"/>
  <c r="S138" i="19"/>
  <c r="R138" i="19"/>
  <c r="P138" i="19"/>
  <c r="O138" i="19"/>
  <c r="N138" i="19"/>
  <c r="L138" i="19"/>
  <c r="K138" i="19"/>
  <c r="J138" i="19"/>
  <c r="H138" i="19"/>
  <c r="G138" i="19"/>
  <c r="F138" i="19"/>
  <c r="AD137" i="19"/>
  <c r="AC137" i="19"/>
  <c r="AB137" i="19"/>
  <c r="T137" i="19"/>
  <c r="S137" i="19"/>
  <c r="R137" i="19"/>
  <c r="P137" i="19"/>
  <c r="O137" i="19"/>
  <c r="N137" i="19"/>
  <c r="L137" i="19"/>
  <c r="K137" i="19"/>
  <c r="J137" i="19"/>
  <c r="H137" i="19"/>
  <c r="F137" i="19"/>
  <c r="E137" i="19"/>
  <c r="AD135" i="19"/>
  <c r="AC135" i="19"/>
  <c r="AB135" i="19"/>
  <c r="T135" i="19"/>
  <c r="S135" i="19"/>
  <c r="R135" i="19"/>
  <c r="P135" i="19"/>
  <c r="O135" i="19"/>
  <c r="N135" i="19"/>
  <c r="L135" i="19"/>
  <c r="K135" i="19"/>
  <c r="J135" i="19"/>
  <c r="H135" i="19"/>
  <c r="F135" i="19"/>
  <c r="Z135" i="19"/>
  <c r="AB149" i="19"/>
  <c r="Z132" i="19"/>
  <c r="X132" i="19"/>
  <c r="W132" i="19"/>
  <c r="G132" i="19"/>
  <c r="Z131" i="19"/>
  <c r="X131" i="19"/>
  <c r="W131" i="19"/>
  <c r="V131" i="19"/>
  <c r="G131" i="19"/>
  <c r="Z130" i="19"/>
  <c r="X130" i="19"/>
  <c r="W130" i="19"/>
  <c r="V130" i="19"/>
  <c r="Z129" i="19"/>
  <c r="X129" i="19"/>
  <c r="V129" i="19"/>
  <c r="G129" i="19"/>
  <c r="W129" i="19"/>
  <c r="Z128" i="19"/>
  <c r="X128" i="19"/>
  <c r="W128" i="19"/>
  <c r="V128" i="19"/>
  <c r="Z127" i="19"/>
  <c r="X127" i="19"/>
  <c r="V127" i="19"/>
  <c r="G127" i="19"/>
  <c r="W127" i="19"/>
  <c r="Z126" i="19"/>
  <c r="X126" i="19"/>
  <c r="W126" i="19"/>
  <c r="V126" i="19"/>
  <c r="Z125" i="19"/>
  <c r="X125" i="19"/>
  <c r="W125" i="19"/>
  <c r="V125" i="19"/>
  <c r="G125" i="19"/>
  <c r="Z124" i="19"/>
  <c r="X124" i="19"/>
  <c r="W124" i="19"/>
  <c r="V124" i="19"/>
  <c r="Z123" i="19"/>
  <c r="X123" i="19"/>
  <c r="W123" i="19"/>
  <c r="V123" i="19"/>
  <c r="Z122" i="19"/>
  <c r="X122" i="19"/>
  <c r="W122" i="19"/>
  <c r="V122" i="19"/>
  <c r="Z121" i="19"/>
  <c r="X121" i="19"/>
  <c r="W121" i="19"/>
  <c r="V121" i="19"/>
  <c r="Z120" i="19"/>
  <c r="X120" i="19"/>
  <c r="W120" i="19"/>
  <c r="V120" i="19"/>
  <c r="G120" i="19"/>
  <c r="Z119" i="19"/>
  <c r="X119" i="19"/>
  <c r="W119" i="19"/>
  <c r="V119" i="19"/>
  <c r="Z118" i="19"/>
  <c r="X118" i="19"/>
  <c r="W118" i="19"/>
  <c r="V118" i="19"/>
  <c r="Z117" i="19"/>
  <c r="X117" i="19"/>
  <c r="V117" i="19"/>
  <c r="G117" i="19"/>
  <c r="W117" i="19"/>
  <c r="Z116" i="19"/>
  <c r="X116" i="19"/>
  <c r="V116" i="19"/>
  <c r="G116" i="19"/>
  <c r="W116" i="19"/>
  <c r="Z115" i="19"/>
  <c r="X115" i="19"/>
  <c r="W115" i="19"/>
  <c r="V115" i="19"/>
  <c r="Z114" i="19"/>
  <c r="X114" i="19"/>
  <c r="W114" i="19"/>
  <c r="V114" i="19"/>
  <c r="Z113" i="19"/>
  <c r="X113" i="19"/>
  <c r="W113" i="19"/>
  <c r="V113" i="19"/>
  <c r="G113" i="19"/>
  <c r="Z112" i="19"/>
  <c r="X112" i="19"/>
  <c r="W112" i="19"/>
  <c r="V112" i="19"/>
  <c r="Z111" i="19"/>
  <c r="X111" i="19"/>
  <c r="W111" i="19"/>
  <c r="V111" i="19"/>
  <c r="Z110" i="19"/>
  <c r="X110" i="19"/>
  <c r="W110" i="19"/>
  <c r="V110" i="19"/>
  <c r="Z109" i="19"/>
  <c r="X109" i="19"/>
  <c r="W109" i="19"/>
  <c r="V109" i="19"/>
  <c r="G109" i="19"/>
  <c r="Z108" i="19"/>
  <c r="X108" i="19"/>
  <c r="W108" i="19"/>
  <c r="V108" i="19"/>
  <c r="Z107" i="19"/>
  <c r="X107" i="19"/>
  <c r="W107" i="19"/>
  <c r="V107" i="19"/>
  <c r="Z106" i="19"/>
  <c r="X106" i="19"/>
  <c r="V106" i="19"/>
  <c r="G106" i="19"/>
  <c r="W106" i="19"/>
  <c r="Z105" i="19"/>
  <c r="X105" i="19"/>
  <c r="W105" i="19"/>
  <c r="V105" i="19"/>
  <c r="Z104" i="19"/>
  <c r="X104" i="19"/>
  <c r="W104" i="19"/>
  <c r="V104" i="19"/>
  <c r="Z103" i="19"/>
  <c r="X103" i="19"/>
  <c r="W103" i="19"/>
  <c r="V103" i="19"/>
  <c r="Z102" i="19"/>
  <c r="X102" i="19"/>
  <c r="W102" i="19"/>
  <c r="V102" i="19"/>
  <c r="Z101" i="19"/>
  <c r="X101" i="19"/>
  <c r="W101" i="19"/>
  <c r="V101" i="19"/>
  <c r="Z100" i="19"/>
  <c r="X100" i="19"/>
  <c r="W100" i="19"/>
  <c r="V100" i="19"/>
  <c r="Z99" i="19"/>
  <c r="X99" i="19"/>
  <c r="W99" i="19"/>
  <c r="V99" i="19"/>
  <c r="Z98" i="19"/>
  <c r="X98" i="19"/>
  <c r="W98" i="19"/>
  <c r="V98" i="19"/>
  <c r="Z97" i="19"/>
  <c r="X97" i="19"/>
  <c r="W97" i="19"/>
  <c r="V97" i="19"/>
  <c r="Z96" i="19"/>
  <c r="X96" i="19"/>
  <c r="W96" i="19"/>
  <c r="V96" i="19"/>
  <c r="Z95" i="19"/>
  <c r="X95" i="19"/>
  <c r="W95" i="19"/>
  <c r="V95" i="19"/>
  <c r="Z94" i="19"/>
  <c r="X94" i="19"/>
  <c r="W94" i="19"/>
  <c r="V94" i="19"/>
  <c r="Z93" i="19"/>
  <c r="X93" i="19"/>
  <c r="W93" i="19"/>
  <c r="V93" i="19"/>
  <c r="Z92" i="19"/>
  <c r="X92" i="19"/>
  <c r="W92" i="19"/>
  <c r="V92" i="19"/>
  <c r="Z91" i="19"/>
  <c r="X91" i="19"/>
  <c r="V91" i="19"/>
  <c r="G91" i="19"/>
  <c r="W91" i="19"/>
  <c r="Z90" i="19"/>
  <c r="X90" i="19"/>
  <c r="W90" i="19"/>
  <c r="V90" i="19"/>
  <c r="G90" i="19"/>
  <c r="Z89" i="19"/>
  <c r="X89" i="19"/>
  <c r="W89" i="19"/>
  <c r="V89" i="19"/>
  <c r="Z88" i="19"/>
  <c r="X88" i="19"/>
  <c r="W88" i="19"/>
  <c r="V88" i="19"/>
  <c r="G88" i="19"/>
  <c r="Z87" i="19"/>
  <c r="X87" i="19"/>
  <c r="V87" i="19"/>
  <c r="G87" i="19"/>
  <c r="W87" i="19"/>
  <c r="Z86" i="19"/>
  <c r="X86" i="19"/>
  <c r="V86" i="19"/>
  <c r="G86" i="19"/>
  <c r="W86" i="19"/>
  <c r="Z85" i="19"/>
  <c r="X85" i="19"/>
  <c r="W85" i="19"/>
  <c r="V85" i="19"/>
  <c r="G85" i="19"/>
  <c r="Z84" i="19"/>
  <c r="X84" i="19"/>
  <c r="W84" i="19"/>
  <c r="V84" i="19"/>
  <c r="G84" i="19"/>
  <c r="Z83" i="19"/>
  <c r="X83" i="19"/>
  <c r="V83" i="19"/>
  <c r="G83" i="19"/>
  <c r="W83" i="19"/>
  <c r="Z82" i="19"/>
  <c r="X82" i="19"/>
  <c r="V82" i="19"/>
  <c r="G82" i="19"/>
  <c r="W82" i="19"/>
  <c r="Z81" i="19"/>
  <c r="X81" i="19"/>
  <c r="W81" i="19"/>
  <c r="V81" i="19"/>
  <c r="G81" i="19"/>
  <c r="Z80" i="19"/>
  <c r="X80" i="19"/>
  <c r="W80" i="19"/>
  <c r="V80" i="19"/>
  <c r="G80" i="19"/>
  <c r="Z79" i="19"/>
  <c r="X79" i="19"/>
  <c r="V79" i="19"/>
  <c r="G79" i="19"/>
  <c r="W79" i="19"/>
  <c r="Z78" i="19"/>
  <c r="X78" i="19"/>
  <c r="V78" i="19"/>
  <c r="G78" i="19"/>
  <c r="W78" i="19"/>
  <c r="Z77" i="19"/>
  <c r="X77" i="19"/>
  <c r="W77" i="19"/>
  <c r="V77" i="19"/>
  <c r="G77" i="19"/>
  <c r="Z76" i="19"/>
  <c r="X76" i="19"/>
  <c r="W76" i="19"/>
  <c r="V76" i="19"/>
  <c r="G76" i="19"/>
  <c r="Z75" i="19"/>
  <c r="X75" i="19"/>
  <c r="V75" i="19"/>
  <c r="G75" i="19"/>
  <c r="W75" i="19"/>
  <c r="Z74" i="19"/>
  <c r="X74" i="19"/>
  <c r="V74" i="19"/>
  <c r="G74" i="19"/>
  <c r="W74" i="19"/>
  <c r="Z73" i="19"/>
  <c r="X73" i="19"/>
  <c r="W73" i="19"/>
  <c r="V73" i="19"/>
  <c r="G73" i="19"/>
  <c r="Z72" i="19"/>
  <c r="X72" i="19"/>
  <c r="W72" i="19"/>
  <c r="V72" i="19"/>
  <c r="G72" i="19"/>
  <c r="Z71" i="19"/>
  <c r="X71" i="19"/>
  <c r="V71" i="19"/>
  <c r="G71" i="19"/>
  <c r="W71" i="19"/>
  <c r="Z70" i="19"/>
  <c r="X70" i="19"/>
  <c r="V70" i="19"/>
  <c r="G70" i="19"/>
  <c r="W70" i="19"/>
  <c r="Z69" i="19"/>
  <c r="X69" i="19"/>
  <c r="W69" i="19"/>
  <c r="V69" i="19"/>
  <c r="Z68" i="19"/>
  <c r="X68" i="19"/>
  <c r="W68" i="19"/>
  <c r="V68" i="19"/>
  <c r="Z67" i="19"/>
  <c r="X67" i="19"/>
  <c r="W67" i="19"/>
  <c r="V67" i="19"/>
  <c r="G67" i="19"/>
  <c r="Z66" i="19"/>
  <c r="X66" i="19"/>
  <c r="W66" i="19"/>
  <c r="V66" i="19"/>
  <c r="G66" i="19"/>
  <c r="Z65" i="19"/>
  <c r="X65" i="19"/>
  <c r="V65" i="19"/>
  <c r="G65" i="19"/>
  <c r="W65" i="19"/>
  <c r="Z64" i="19"/>
  <c r="X64" i="19"/>
  <c r="V64" i="19"/>
  <c r="G64" i="19"/>
  <c r="W64" i="19"/>
  <c r="Z63" i="19"/>
  <c r="X63" i="19"/>
  <c r="W63" i="19"/>
  <c r="V63" i="19"/>
  <c r="G63" i="19"/>
  <c r="Z62" i="19"/>
  <c r="X62" i="19"/>
  <c r="W62" i="19"/>
  <c r="V62" i="19"/>
  <c r="Z61" i="19"/>
  <c r="X61" i="19"/>
  <c r="W61" i="19"/>
  <c r="V61" i="19"/>
  <c r="Z60" i="19"/>
  <c r="X60" i="19"/>
  <c r="W60" i="19"/>
  <c r="V60" i="19"/>
  <c r="G60" i="19"/>
  <c r="Z59" i="19"/>
  <c r="X59" i="19"/>
  <c r="W59" i="19"/>
  <c r="V59" i="19"/>
  <c r="Z58" i="19"/>
  <c r="X58" i="19"/>
  <c r="W58" i="19"/>
  <c r="V58" i="19"/>
  <c r="Z57" i="19"/>
  <c r="X57" i="19"/>
  <c r="W57" i="19"/>
  <c r="V57" i="19"/>
  <c r="Z56" i="19"/>
  <c r="X56" i="19"/>
  <c r="X138" i="19"/>
  <c r="V56" i="19"/>
  <c r="G56" i="19"/>
  <c r="W56" i="19"/>
  <c r="Z55" i="19"/>
  <c r="X55" i="19"/>
  <c r="W55" i="19"/>
  <c r="V55" i="19"/>
  <c r="Z54" i="19"/>
  <c r="X54" i="19"/>
  <c r="W54" i="19"/>
  <c r="V54" i="19"/>
  <c r="Z53" i="19"/>
  <c r="X53" i="19"/>
  <c r="V53" i="19"/>
  <c r="G53" i="19"/>
  <c r="W53" i="19"/>
  <c r="Z52" i="19"/>
  <c r="X52" i="19"/>
  <c r="W52" i="19"/>
  <c r="V52" i="19"/>
  <c r="G52" i="19"/>
  <c r="Z51" i="19"/>
  <c r="X51" i="19"/>
  <c r="W51" i="19"/>
  <c r="V51" i="19"/>
  <c r="Z50" i="19"/>
  <c r="X50" i="19"/>
  <c r="W50" i="19"/>
  <c r="V50" i="19"/>
  <c r="G50" i="19"/>
  <c r="Z49" i="19"/>
  <c r="X49" i="19"/>
  <c r="W49" i="19"/>
  <c r="V49" i="19"/>
  <c r="Z48" i="19"/>
  <c r="X48" i="19"/>
  <c r="V48" i="19"/>
  <c r="G48" i="19"/>
  <c r="W48" i="19"/>
  <c r="Z47" i="19"/>
  <c r="X47" i="19"/>
  <c r="W47" i="19"/>
  <c r="V47" i="19"/>
  <c r="Z46" i="19"/>
  <c r="X46" i="19"/>
  <c r="V46" i="19"/>
  <c r="G46" i="19"/>
  <c r="W46" i="19"/>
  <c r="Z45" i="19"/>
  <c r="X45" i="19"/>
  <c r="W45" i="19"/>
  <c r="V45" i="19"/>
  <c r="Z44" i="19"/>
  <c r="X44" i="19"/>
  <c r="W44" i="19"/>
  <c r="V44" i="19"/>
  <c r="Z43" i="19"/>
  <c r="X43" i="19"/>
  <c r="W43" i="19"/>
  <c r="V43" i="19"/>
  <c r="Z42" i="19"/>
  <c r="X42" i="19"/>
  <c r="W42" i="19"/>
  <c r="V42" i="19"/>
  <c r="G42" i="19"/>
  <c r="Z41" i="19"/>
  <c r="X41" i="19"/>
  <c r="W41" i="19"/>
  <c r="V41" i="19"/>
  <c r="Z40" i="19"/>
  <c r="X40" i="19"/>
  <c r="W40" i="19"/>
  <c r="V40" i="19"/>
  <c r="G40" i="19"/>
  <c r="Z39" i="19"/>
  <c r="X39" i="19"/>
  <c r="W39" i="19"/>
  <c r="V39" i="19"/>
  <c r="Z38" i="19"/>
  <c r="X38" i="19"/>
  <c r="W38" i="19"/>
  <c r="V38" i="19"/>
  <c r="Z37" i="19"/>
  <c r="X37" i="19"/>
  <c r="W37" i="19"/>
  <c r="V37" i="19"/>
  <c r="Z36" i="19"/>
  <c r="X36" i="19"/>
  <c r="V36" i="19"/>
  <c r="G36" i="19"/>
  <c r="W36" i="19"/>
  <c r="Z35" i="19"/>
  <c r="X35" i="19"/>
  <c r="W35" i="19"/>
  <c r="V35" i="19"/>
  <c r="Z34" i="19"/>
  <c r="X34" i="19"/>
  <c r="W34" i="19"/>
  <c r="V34" i="19"/>
  <c r="Z33" i="19"/>
  <c r="X33" i="19"/>
  <c r="W33" i="19"/>
  <c r="V33" i="19"/>
  <c r="Z32" i="19"/>
  <c r="X32" i="19"/>
  <c r="W32" i="19"/>
  <c r="V32" i="19"/>
  <c r="Z31" i="19"/>
  <c r="X31" i="19"/>
  <c r="W31" i="19"/>
  <c r="V31" i="19"/>
  <c r="Z30" i="19"/>
  <c r="X30" i="19"/>
  <c r="W30" i="19"/>
  <c r="V30" i="19"/>
  <c r="V138" i="19"/>
  <c r="Z29" i="19"/>
  <c r="X29" i="19"/>
  <c r="W29" i="19"/>
  <c r="V29" i="19"/>
  <c r="Z28" i="19"/>
  <c r="X28" i="19"/>
  <c r="V28" i="19"/>
  <c r="G28" i="19"/>
  <c r="W28" i="19"/>
  <c r="Z27" i="19"/>
  <c r="X27" i="19"/>
  <c r="W27" i="19"/>
  <c r="V27" i="19"/>
  <c r="Z26" i="19"/>
  <c r="X26" i="19"/>
  <c r="W26" i="19"/>
  <c r="V26" i="19"/>
  <c r="Z25" i="19"/>
  <c r="X25" i="19"/>
  <c r="W25" i="19"/>
  <c r="V25" i="19"/>
  <c r="Z24" i="19"/>
  <c r="X24" i="19"/>
  <c r="W24" i="19"/>
  <c r="V24" i="19"/>
  <c r="G24" i="19"/>
  <c r="Z23" i="19"/>
  <c r="X23" i="19"/>
  <c r="W23" i="19"/>
  <c r="V23" i="19"/>
  <c r="G23" i="19"/>
  <c r="Z22" i="19"/>
  <c r="X22" i="19"/>
  <c r="V22" i="19"/>
  <c r="G22" i="19"/>
  <c r="W22" i="19"/>
  <c r="Z21" i="19"/>
  <c r="X21" i="19"/>
  <c r="W21" i="19"/>
  <c r="V21" i="19"/>
  <c r="Z20" i="19"/>
  <c r="X20" i="19"/>
  <c r="W20" i="19"/>
  <c r="V20" i="19"/>
  <c r="Z19" i="19"/>
  <c r="X19" i="19"/>
  <c r="W19" i="19"/>
  <c r="V19" i="19"/>
  <c r="Z18" i="19"/>
  <c r="X18" i="19"/>
  <c r="W18" i="19"/>
  <c r="V18" i="19"/>
  <c r="Z17" i="19"/>
  <c r="X17" i="19"/>
  <c r="W17" i="19"/>
  <c r="V17" i="19"/>
  <c r="Z16" i="19"/>
  <c r="X16" i="19"/>
  <c r="V16" i="19"/>
  <c r="G16" i="19"/>
  <c r="W16" i="19"/>
  <c r="Z15" i="19"/>
  <c r="X15" i="19"/>
  <c r="W15" i="19"/>
  <c r="V15" i="19"/>
  <c r="Z14" i="19"/>
  <c r="X14" i="19"/>
  <c r="W14" i="19"/>
  <c r="V14" i="19"/>
  <c r="V137" i="19"/>
  <c r="Z13" i="19"/>
  <c r="X13" i="19"/>
  <c r="W13" i="19"/>
  <c r="V13" i="19"/>
  <c r="G13" i="19"/>
  <c r="G140" i="19"/>
  <c r="Z12" i="19"/>
  <c r="X12" i="19"/>
  <c r="W12" i="19"/>
  <c r="V12" i="19"/>
  <c r="G12" i="19"/>
  <c r="Z11" i="19"/>
  <c r="X11" i="19"/>
  <c r="W11" i="19"/>
  <c r="V11" i="19"/>
  <c r="Z10" i="19"/>
  <c r="X10" i="19"/>
  <c r="X137" i="19"/>
  <c r="W10" i="19"/>
  <c r="V10" i="19"/>
  <c r="Z9" i="19"/>
  <c r="X9" i="19"/>
  <c r="W9" i="19"/>
  <c r="V9" i="19"/>
  <c r="Z8" i="19"/>
  <c r="X8" i="19"/>
  <c r="W8" i="19"/>
  <c r="V8" i="19"/>
  <c r="Z7" i="19"/>
  <c r="X7" i="19"/>
  <c r="X135" i="19"/>
  <c r="V7" i="19"/>
  <c r="V139" i="19"/>
  <c r="G7" i="19"/>
  <c r="G139" i="19"/>
  <c r="Z6" i="19"/>
  <c r="X6" i="19"/>
  <c r="W6" i="19"/>
  <c r="V6" i="19"/>
  <c r="Z5" i="19"/>
  <c r="X5" i="19"/>
  <c r="X140" i="19"/>
  <c r="W5" i="19"/>
  <c r="V5" i="19"/>
  <c r="R204" i="18"/>
  <c r="Q204" i="18"/>
  <c r="P204" i="18"/>
  <c r="R203" i="18"/>
  <c r="Q203" i="18"/>
  <c r="P203" i="18"/>
  <c r="R202" i="18"/>
  <c r="Q202" i="18"/>
  <c r="S202" i="18"/>
  <c r="P202" i="18"/>
  <c r="R201" i="18"/>
  <c r="Q201" i="18"/>
  <c r="P201" i="18"/>
  <c r="R199" i="18"/>
  <c r="Q199" i="18"/>
  <c r="P199" i="18"/>
  <c r="AA192" i="18"/>
  <c r="K168" i="18"/>
  <c r="R168" i="18"/>
  <c r="J168" i="18"/>
  <c r="Q168" i="18"/>
  <c r="I168" i="18"/>
  <c r="P168" i="18"/>
  <c r="Q167" i="18"/>
  <c r="K167" i="18"/>
  <c r="R167" i="18"/>
  <c r="J167" i="18"/>
  <c r="I167" i="18"/>
  <c r="P167" i="18"/>
  <c r="Q166" i="18"/>
  <c r="K166" i="18"/>
  <c r="R166" i="18"/>
  <c r="J166" i="18"/>
  <c r="I166" i="18"/>
  <c r="P166" i="18"/>
  <c r="P165" i="18"/>
  <c r="K165" i="18"/>
  <c r="R165" i="18"/>
  <c r="J165" i="18"/>
  <c r="Q165" i="18"/>
  <c r="I165" i="18"/>
  <c r="K163" i="18"/>
  <c r="R163" i="18"/>
  <c r="J163" i="18"/>
  <c r="Q163" i="18"/>
  <c r="I163" i="18"/>
  <c r="P163" i="18"/>
  <c r="AI148" i="18"/>
  <c r="AN132" i="18"/>
  <c r="AM132" i="18"/>
  <c r="AL132" i="18"/>
  <c r="AK132" i="18"/>
  <c r="AJ132" i="18"/>
  <c r="AI132" i="18"/>
  <c r="AH132" i="18"/>
  <c r="AG132" i="18"/>
  <c r="AF132" i="18"/>
  <c r="AP132" i="18"/>
  <c r="AC132" i="18"/>
  <c r="P132" i="18"/>
  <c r="AA132" i="18"/>
  <c r="Y132" i="18"/>
  <c r="Z132" i="18" s="1"/>
  <c r="AN131" i="18"/>
  <c r="AM131" i="18"/>
  <c r="AL131" i="18"/>
  <c r="AP131" i="18"/>
  <c r="AK131" i="18"/>
  <c r="AJ131" i="18"/>
  <c r="AI131" i="18"/>
  <c r="AH131" i="18"/>
  <c r="AG131" i="18"/>
  <c r="AQ131" i="18"/>
  <c r="AF131" i="18"/>
  <c r="AA131" i="18"/>
  <c r="AN130" i="18"/>
  <c r="AM130" i="18"/>
  <c r="AL130" i="18"/>
  <c r="AK130" i="18"/>
  <c r="AJ130" i="18"/>
  <c r="AI130" i="18"/>
  <c r="AH130" i="18"/>
  <c r="AG130" i="18"/>
  <c r="AF130" i="18"/>
  <c r="AP130" i="18"/>
  <c r="R130" i="18"/>
  <c r="AC130" i="18"/>
  <c r="AA130" i="18"/>
  <c r="AN129" i="18"/>
  <c r="AM129" i="18"/>
  <c r="AL129" i="18"/>
  <c r="AK129" i="18"/>
  <c r="AJ129" i="18"/>
  <c r="AI129" i="18"/>
  <c r="AH129" i="18"/>
  <c r="AG129" i="18"/>
  <c r="AF129" i="18"/>
  <c r="AA129" i="18"/>
  <c r="AN128" i="18"/>
  <c r="AM128" i="18"/>
  <c r="AL128" i="18"/>
  <c r="AK128" i="18"/>
  <c r="AJ128" i="18"/>
  <c r="AI128" i="18"/>
  <c r="AH128" i="18"/>
  <c r="AR128" i="18"/>
  <c r="AG128" i="18"/>
  <c r="AF128" i="18"/>
  <c r="AC128" i="18"/>
  <c r="AA128" i="18"/>
  <c r="AN127" i="18"/>
  <c r="AM127" i="18"/>
  <c r="AL127" i="18"/>
  <c r="AK127" i="18"/>
  <c r="AJ127" i="18"/>
  <c r="AI127" i="18"/>
  <c r="AH127" i="18"/>
  <c r="AG127" i="18"/>
  <c r="AF127" i="18"/>
  <c r="AA127" i="18"/>
  <c r="AN126" i="18"/>
  <c r="AM126" i="18"/>
  <c r="AL126" i="18"/>
  <c r="AK126" i="18"/>
  <c r="AJ126" i="18"/>
  <c r="AI126" i="18"/>
  <c r="AH126" i="18"/>
  <c r="AG126" i="18"/>
  <c r="AF126" i="18"/>
  <c r="AC126" i="18"/>
  <c r="Y126" i="18"/>
  <c r="AN125" i="18"/>
  <c r="AM125" i="18"/>
  <c r="AL125" i="18"/>
  <c r="AK125" i="18"/>
  <c r="AJ125" i="18"/>
  <c r="AI125" i="18"/>
  <c r="AH125" i="18"/>
  <c r="AG125" i="18"/>
  <c r="AF125" i="18"/>
  <c r="AC125" i="18"/>
  <c r="AA125" i="18"/>
  <c r="AN124" i="18"/>
  <c r="AM124" i="18"/>
  <c r="AL124" i="18"/>
  <c r="AK124" i="18"/>
  <c r="AJ124" i="18"/>
  <c r="AI124" i="18"/>
  <c r="AH124" i="18"/>
  <c r="AG124" i="18"/>
  <c r="AF124" i="18"/>
  <c r="AC124" i="18"/>
  <c r="AA124" i="18"/>
  <c r="AN123" i="18"/>
  <c r="AM123" i="18"/>
  <c r="AL123" i="18"/>
  <c r="AK123" i="18"/>
  <c r="AJ123" i="18"/>
  <c r="AI123" i="18"/>
  <c r="AH123" i="18"/>
  <c r="AG123" i="18"/>
  <c r="AF123" i="18"/>
  <c r="AA123" i="18"/>
  <c r="AN122" i="18"/>
  <c r="AM122" i="18"/>
  <c r="AL122" i="18"/>
  <c r="AK122" i="18"/>
  <c r="AJ122" i="18"/>
  <c r="AI122" i="18"/>
  <c r="AH122" i="18"/>
  <c r="AG122" i="18"/>
  <c r="AF122" i="18"/>
  <c r="AC122" i="18"/>
  <c r="Y122" i="18"/>
  <c r="AN121" i="18"/>
  <c r="AM121" i="18"/>
  <c r="AL121" i="18"/>
  <c r="AK121" i="18"/>
  <c r="AJ121" i="18"/>
  <c r="AI121" i="18"/>
  <c r="AH121" i="18"/>
  <c r="AG121" i="18"/>
  <c r="AF121" i="18"/>
  <c r="AC121" i="18"/>
  <c r="AA121" i="18"/>
  <c r="AN120" i="18"/>
  <c r="AM120" i="18"/>
  <c r="AL120" i="18"/>
  <c r="AK120" i="18"/>
  <c r="AJ120" i="18"/>
  <c r="AI120" i="18"/>
  <c r="AH120" i="18"/>
  <c r="AG120" i="18"/>
  <c r="AF120" i="18"/>
  <c r="AC120" i="18"/>
  <c r="AA120" i="18"/>
  <c r="AN119" i="18"/>
  <c r="AM119" i="18"/>
  <c r="AL119" i="18"/>
  <c r="AK119" i="18"/>
  <c r="AJ119" i="18"/>
  <c r="AI119" i="18"/>
  <c r="AH119" i="18"/>
  <c r="AG119" i="18"/>
  <c r="AF119" i="18"/>
  <c r="AA119" i="18"/>
  <c r="Q119" i="18"/>
  <c r="AN118" i="18"/>
  <c r="AM118" i="18"/>
  <c r="AL118" i="18"/>
  <c r="AK118" i="18"/>
  <c r="AJ118" i="18"/>
  <c r="AI118" i="18"/>
  <c r="AH118" i="18"/>
  <c r="AG118" i="18"/>
  <c r="AF118" i="18"/>
  <c r="AC118" i="18"/>
  <c r="Y118" i="18"/>
  <c r="Z118" i="18" s="1"/>
  <c r="AN117" i="18"/>
  <c r="AM117" i="18"/>
  <c r="AL117" i="18"/>
  <c r="AK117" i="18"/>
  <c r="AJ117" i="18"/>
  <c r="AI117" i="18"/>
  <c r="AH117" i="18"/>
  <c r="AG117" i="18"/>
  <c r="AF117" i="18"/>
  <c r="AC117" i="18"/>
  <c r="AA117" i="18"/>
  <c r="AN116" i="18"/>
  <c r="AM116" i="18"/>
  <c r="AL116" i="18"/>
  <c r="AK116" i="18"/>
  <c r="AJ116" i="18"/>
  <c r="AI116" i="18"/>
  <c r="AH116" i="18"/>
  <c r="AG116" i="18"/>
  <c r="AF116" i="18"/>
  <c r="AC116" i="18"/>
  <c r="AA116" i="18"/>
  <c r="P116" i="18"/>
  <c r="AB116" i="18" s="1"/>
  <c r="AN115" i="18"/>
  <c r="AM115" i="18"/>
  <c r="AL115" i="18"/>
  <c r="AK115" i="18"/>
  <c r="AJ115" i="18"/>
  <c r="AI115" i="18"/>
  <c r="AH115" i="18"/>
  <c r="AG115" i="18"/>
  <c r="AF115" i="18"/>
  <c r="AA115" i="18"/>
  <c r="Q115" i="18"/>
  <c r="AN114" i="18"/>
  <c r="AM114" i="18"/>
  <c r="AL114" i="18"/>
  <c r="AK114" i="18"/>
  <c r="AJ114" i="18"/>
  <c r="AI114" i="18"/>
  <c r="AH114" i="18"/>
  <c r="AG114" i="18"/>
  <c r="AF114" i="18"/>
  <c r="AC114" i="18"/>
  <c r="Y114" i="18"/>
  <c r="AN113" i="18"/>
  <c r="AM113" i="18"/>
  <c r="AL113" i="18"/>
  <c r="AK113" i="18"/>
  <c r="AJ113" i="18"/>
  <c r="AI113" i="18"/>
  <c r="AH113" i="18"/>
  <c r="AG113" i="18"/>
  <c r="AF113" i="18"/>
  <c r="AC113" i="18"/>
  <c r="AA113" i="18"/>
  <c r="AN112" i="18"/>
  <c r="AM112" i="18"/>
  <c r="AL112" i="18"/>
  <c r="AK112" i="18"/>
  <c r="AJ112" i="18"/>
  <c r="AI112" i="18"/>
  <c r="AH112" i="18"/>
  <c r="AG112" i="18"/>
  <c r="AF112" i="18"/>
  <c r="AC112" i="18"/>
  <c r="AA112" i="18"/>
  <c r="P112" i="18"/>
  <c r="AN111" i="18"/>
  <c r="AM111" i="18"/>
  <c r="AL111" i="18"/>
  <c r="AK111" i="18"/>
  <c r="AJ111" i="18"/>
  <c r="AI111" i="18"/>
  <c r="AH111" i="18"/>
  <c r="AG111" i="18"/>
  <c r="AF111" i="18"/>
  <c r="R111" i="18"/>
  <c r="AA111" i="18"/>
  <c r="AN110" i="18"/>
  <c r="AM110" i="18"/>
  <c r="AL110" i="18"/>
  <c r="AK110" i="18"/>
  <c r="AJ110" i="18"/>
  <c r="AI110" i="18"/>
  <c r="AH110" i="18"/>
  <c r="AG110" i="18"/>
  <c r="AF110" i="18"/>
  <c r="AC110" i="18"/>
  <c r="R110" i="18"/>
  <c r="AN109" i="18"/>
  <c r="AM109" i="18"/>
  <c r="AL109" i="18"/>
  <c r="AK109" i="18"/>
  <c r="AJ109" i="18"/>
  <c r="AI109" i="18"/>
  <c r="AH109" i="18"/>
  <c r="AG109" i="18"/>
  <c r="AF109" i="18"/>
  <c r="AA109" i="18"/>
  <c r="AC109" i="18"/>
  <c r="AN108" i="18"/>
  <c r="AM108" i="18"/>
  <c r="AL108" i="18"/>
  <c r="AK108" i="18"/>
  <c r="AJ108" i="18"/>
  <c r="AI108" i="18"/>
  <c r="AH108" i="18"/>
  <c r="AG108" i="18"/>
  <c r="AF108" i="18"/>
  <c r="AC108" i="18"/>
  <c r="AA108" i="18"/>
  <c r="AB108" i="18"/>
  <c r="P108" i="18"/>
  <c r="U108" i="18" s="1"/>
  <c r="AN107" i="18"/>
  <c r="AM107" i="18"/>
  <c r="AL107" i="18"/>
  <c r="AP107" i="18"/>
  <c r="AK107" i="18"/>
  <c r="AJ107" i="18"/>
  <c r="AI107" i="18"/>
  <c r="AH107" i="18"/>
  <c r="AG107" i="18"/>
  <c r="AQ107" i="18"/>
  <c r="AF107" i="18"/>
  <c r="AA107" i="18"/>
  <c r="AN106" i="18"/>
  <c r="AM106" i="18"/>
  <c r="AL106" i="18"/>
  <c r="AK106" i="18"/>
  <c r="AJ106" i="18"/>
  <c r="AI106" i="18"/>
  <c r="AH106" i="18"/>
  <c r="AG106" i="18"/>
  <c r="AF106" i="18"/>
  <c r="AC106" i="18"/>
  <c r="R106" i="18"/>
  <c r="AN105" i="18"/>
  <c r="AM105" i="18"/>
  <c r="AL105" i="18"/>
  <c r="AK105" i="18"/>
  <c r="AJ105" i="18"/>
  <c r="AI105" i="18"/>
  <c r="AH105" i="18"/>
  <c r="AG105" i="18"/>
  <c r="AF105" i="18"/>
  <c r="AA105" i="18"/>
  <c r="AC105" i="18"/>
  <c r="AN104" i="18"/>
  <c r="AM104" i="18"/>
  <c r="AL104" i="18"/>
  <c r="AK104" i="18"/>
  <c r="AJ104" i="18"/>
  <c r="AI104" i="18"/>
  <c r="AH104" i="18"/>
  <c r="AG104" i="18"/>
  <c r="AQ104" i="18"/>
  <c r="AF104" i="18"/>
  <c r="AC104" i="18"/>
  <c r="Y104" i="18"/>
  <c r="AA104" i="18"/>
  <c r="P104" i="18"/>
  <c r="AD104" i="18" s="1"/>
  <c r="AN103" i="18"/>
  <c r="AM103" i="18"/>
  <c r="AL103" i="18"/>
  <c r="AK103" i="18"/>
  <c r="AJ103" i="18"/>
  <c r="AI103" i="18"/>
  <c r="AH103" i="18"/>
  <c r="AG103" i="18"/>
  <c r="AF103" i="18"/>
  <c r="Q103" i="18"/>
  <c r="AA103" i="18"/>
  <c r="AN102" i="18"/>
  <c r="AM102" i="18"/>
  <c r="AL102" i="18"/>
  <c r="AK102" i="18"/>
  <c r="AJ102" i="18"/>
  <c r="AI102" i="18"/>
  <c r="AH102" i="18"/>
  <c r="AG102" i="18"/>
  <c r="AF102" i="18"/>
  <c r="AC102" i="18"/>
  <c r="R102" i="18"/>
  <c r="Y102" i="18"/>
  <c r="AN101" i="18"/>
  <c r="AM101" i="18"/>
  <c r="AL101" i="18"/>
  <c r="AK101" i="18"/>
  <c r="AJ101" i="18"/>
  <c r="AI101" i="18"/>
  <c r="AH101" i="18"/>
  <c r="AG101" i="18"/>
  <c r="AF101" i="18"/>
  <c r="AA101" i="18"/>
  <c r="AC101" i="18"/>
  <c r="AN100" i="18"/>
  <c r="AM100" i="18"/>
  <c r="AL100" i="18"/>
  <c r="AK100" i="18"/>
  <c r="AJ100" i="18"/>
  <c r="AI100" i="18"/>
  <c r="AH100" i="18"/>
  <c r="AG100" i="18"/>
  <c r="AQ100" i="18"/>
  <c r="AF100" i="18"/>
  <c r="AC100" i="18"/>
  <c r="AA100" i="18"/>
  <c r="AP99" i="18"/>
  <c r="AN99" i="18"/>
  <c r="AM99" i="18"/>
  <c r="AL99" i="18"/>
  <c r="AK99" i="18"/>
  <c r="AJ99" i="18"/>
  <c r="AI99" i="18"/>
  <c r="AH99" i="18"/>
  <c r="AG99" i="18"/>
  <c r="AQ99" i="18"/>
  <c r="AS99" i="18"/>
  <c r="AF99" i="18"/>
  <c r="Q99" i="18"/>
  <c r="AA99" i="18"/>
  <c r="AN98" i="18"/>
  <c r="AR98" i="18"/>
  <c r="AM98" i="18"/>
  <c r="AL98" i="18"/>
  <c r="AK98" i="18"/>
  <c r="AJ98" i="18"/>
  <c r="AI98" i="18"/>
  <c r="AH98" i="18"/>
  <c r="AG98" i="18"/>
  <c r="AF98" i="18"/>
  <c r="AP98" i="18"/>
  <c r="R98" i="18"/>
  <c r="Y98" i="18"/>
  <c r="AN97" i="18"/>
  <c r="AM97" i="18"/>
  <c r="AL97" i="18"/>
  <c r="AK97" i="18"/>
  <c r="AJ97" i="18"/>
  <c r="AI97" i="18"/>
  <c r="AH97" i="18"/>
  <c r="AG97" i="18"/>
  <c r="AF97" i="18"/>
  <c r="AC97" i="18"/>
  <c r="AA97" i="18"/>
  <c r="AN96" i="18"/>
  <c r="AM96" i="18"/>
  <c r="AL96" i="18"/>
  <c r="AP96" i="18"/>
  <c r="AK96" i="18"/>
  <c r="AJ96" i="18"/>
  <c r="AI96" i="18"/>
  <c r="AH96" i="18"/>
  <c r="AR96" i="18"/>
  <c r="AG96" i="18"/>
  <c r="AF96" i="18"/>
  <c r="AC96" i="18"/>
  <c r="AA96" i="18"/>
  <c r="P96" i="18"/>
  <c r="AN95" i="18"/>
  <c r="AM95" i="18"/>
  <c r="AL95" i="18"/>
  <c r="AK95" i="18"/>
  <c r="AJ95" i="18"/>
  <c r="AI95" i="18"/>
  <c r="AH95" i="18"/>
  <c r="AG95" i="18"/>
  <c r="AF95" i="18"/>
  <c r="AA95" i="18"/>
  <c r="Q95" i="18"/>
  <c r="AN94" i="18"/>
  <c r="AM94" i="18"/>
  <c r="AL94" i="18"/>
  <c r="AK94" i="18"/>
  <c r="AJ94" i="18"/>
  <c r="AI94" i="18"/>
  <c r="AH94" i="18"/>
  <c r="AG94" i="18"/>
  <c r="AF94" i="18"/>
  <c r="AC94" i="18"/>
  <c r="Y94" i="18"/>
  <c r="AN93" i="18"/>
  <c r="AM93" i="18"/>
  <c r="AL93" i="18"/>
  <c r="AK93" i="18"/>
  <c r="AJ93" i="18"/>
  <c r="AI93" i="18"/>
  <c r="AH93" i="18"/>
  <c r="AG93" i="18"/>
  <c r="AF93" i="18"/>
  <c r="AC93" i="18"/>
  <c r="AA93" i="18"/>
  <c r="AN92" i="18"/>
  <c r="AM92" i="18"/>
  <c r="AL92" i="18"/>
  <c r="AK92" i="18"/>
  <c r="AJ92" i="18"/>
  <c r="AI92" i="18"/>
  <c r="AH92" i="18"/>
  <c r="AG92" i="18"/>
  <c r="AF92" i="18"/>
  <c r="AC92" i="18"/>
  <c r="AA92" i="18"/>
  <c r="AN91" i="18"/>
  <c r="AM91" i="18"/>
  <c r="AL91" i="18"/>
  <c r="AK91" i="18"/>
  <c r="AJ91" i="18"/>
  <c r="AI91" i="18"/>
  <c r="AH91" i="18"/>
  <c r="AG91" i="18"/>
  <c r="AF91" i="18"/>
  <c r="AA91" i="18"/>
  <c r="Q91" i="18"/>
  <c r="AN90" i="18"/>
  <c r="AM90" i="18"/>
  <c r="AL90" i="18"/>
  <c r="AK90" i="18"/>
  <c r="AR90" i="18"/>
  <c r="AJ90" i="18"/>
  <c r="AI90" i="18"/>
  <c r="AH90" i="18"/>
  <c r="AG90" i="18"/>
  <c r="AF90" i="18"/>
  <c r="AA90" i="18"/>
  <c r="AC90" i="18"/>
  <c r="Y90" i="18"/>
  <c r="AN89" i="18"/>
  <c r="AM89" i="18"/>
  <c r="AL89" i="18"/>
  <c r="AK89" i="18"/>
  <c r="AJ89" i="18"/>
  <c r="AI89" i="18"/>
  <c r="AH89" i="18"/>
  <c r="AG89" i="18"/>
  <c r="AQ89" i="18"/>
  <c r="AF89" i="18"/>
  <c r="AC89" i="18"/>
  <c r="AA89" i="18"/>
  <c r="AN88" i="18"/>
  <c r="AM88" i="18"/>
  <c r="AL88" i="18"/>
  <c r="AK88" i="18"/>
  <c r="AJ88" i="18"/>
  <c r="AI88" i="18"/>
  <c r="AH88" i="18"/>
  <c r="AG88" i="18"/>
  <c r="AF88" i="18"/>
  <c r="AC88" i="18"/>
  <c r="AA88" i="18"/>
  <c r="AN87" i="18"/>
  <c r="AM87" i="18"/>
  <c r="AL87" i="18"/>
  <c r="AK87" i="18"/>
  <c r="AJ87" i="18"/>
  <c r="AI87" i="18"/>
  <c r="AH87" i="18"/>
  <c r="AG87" i="18"/>
  <c r="AF87" i="18"/>
  <c r="AA87" i="18"/>
  <c r="Q87" i="18"/>
  <c r="AN86" i="18"/>
  <c r="AM86" i="18"/>
  <c r="AL86" i="18"/>
  <c r="AK86" i="18"/>
  <c r="AJ86" i="18"/>
  <c r="AI86" i="18"/>
  <c r="AH86" i="18"/>
  <c r="AG86" i="18"/>
  <c r="AF86" i="18"/>
  <c r="AC86" i="18"/>
  <c r="Y86" i="18"/>
  <c r="AN85" i="18"/>
  <c r="AM85" i="18"/>
  <c r="AL85" i="18"/>
  <c r="AK85" i="18"/>
  <c r="AJ85" i="18"/>
  <c r="AI85" i="18"/>
  <c r="AH85" i="18"/>
  <c r="AG85" i="18"/>
  <c r="AQ85" i="18"/>
  <c r="AF85" i="18"/>
  <c r="AC85" i="18"/>
  <c r="AA85" i="18"/>
  <c r="AP84" i="18"/>
  <c r="AN84" i="18"/>
  <c r="AM84" i="18"/>
  <c r="AL84" i="18"/>
  <c r="AK84" i="18"/>
  <c r="AJ84" i="18"/>
  <c r="AI84" i="18"/>
  <c r="AH84" i="18"/>
  <c r="AG84" i="18"/>
  <c r="AQ84" i="18"/>
  <c r="AS84" i="18"/>
  <c r="AF84" i="18"/>
  <c r="AC84" i="18"/>
  <c r="AA84" i="18"/>
  <c r="Q84" i="18"/>
  <c r="S84" i="18" s="1"/>
  <c r="W84" i="23" s="1"/>
  <c r="P84" i="18"/>
  <c r="AN83" i="18"/>
  <c r="AM83" i="18"/>
  <c r="AL83" i="18"/>
  <c r="AK83" i="18"/>
  <c r="AJ83" i="18"/>
  <c r="AI83" i="18"/>
  <c r="AH83" i="18"/>
  <c r="AR83" i="18"/>
  <c r="AG83" i="18"/>
  <c r="AF83" i="18"/>
  <c r="AA83" i="18"/>
  <c r="Q83" i="18"/>
  <c r="AN82" i="18"/>
  <c r="AM82" i="18"/>
  <c r="AL82" i="18"/>
  <c r="AK82" i="18"/>
  <c r="AJ82" i="18"/>
  <c r="AI82" i="18"/>
  <c r="AH82" i="18"/>
  <c r="AG82" i="18"/>
  <c r="AF82" i="18"/>
  <c r="AC82" i="18"/>
  <c r="R82" i="18"/>
  <c r="Y82" i="18"/>
  <c r="AN81" i="18"/>
  <c r="AM81" i="18"/>
  <c r="AL81" i="18"/>
  <c r="AK81" i="18"/>
  <c r="AJ81" i="18"/>
  <c r="AI81" i="18"/>
  <c r="AH81" i="18"/>
  <c r="AG81" i="18"/>
  <c r="AQ81" i="18"/>
  <c r="AF81" i="18"/>
  <c r="AC81" i="18"/>
  <c r="AA81" i="18"/>
  <c r="AP80" i="18"/>
  <c r="AN80" i="18"/>
  <c r="AM80" i="18"/>
  <c r="AL80" i="18"/>
  <c r="AK80" i="18"/>
  <c r="AJ80" i="18"/>
  <c r="AI80" i="18"/>
  <c r="AH80" i="18"/>
  <c r="AG80" i="18"/>
  <c r="AQ80" i="18"/>
  <c r="AS80" i="18"/>
  <c r="AF80" i="18"/>
  <c r="AC80" i="18"/>
  <c r="AA80" i="18"/>
  <c r="P80" i="18"/>
  <c r="AN79" i="18"/>
  <c r="AM79" i="18"/>
  <c r="AL79" i="18"/>
  <c r="AK79" i="18"/>
  <c r="AJ79" i="18"/>
  <c r="AI79" i="18"/>
  <c r="AH79" i="18"/>
  <c r="AG79" i="18"/>
  <c r="AQ79" i="18"/>
  <c r="AF79" i="18"/>
  <c r="AA79" i="18"/>
  <c r="Q79" i="18"/>
  <c r="AN78" i="18"/>
  <c r="AM78" i="18"/>
  <c r="AL78" i="18"/>
  <c r="AK78" i="18"/>
  <c r="AJ78" i="18"/>
  <c r="AI78" i="18"/>
  <c r="AH78" i="18"/>
  <c r="AG78" i="18"/>
  <c r="AF78" i="18"/>
  <c r="AC78" i="18"/>
  <c r="Y78" i="18"/>
  <c r="AN77" i="18"/>
  <c r="AM77" i="18"/>
  <c r="AL77" i="18"/>
  <c r="AK77" i="18"/>
  <c r="AJ77" i="18"/>
  <c r="AI77" i="18"/>
  <c r="AH77" i="18"/>
  <c r="AG77" i="18"/>
  <c r="AF77" i="18"/>
  <c r="AC77" i="18"/>
  <c r="AA77" i="18"/>
  <c r="AN76" i="18"/>
  <c r="AM76" i="18"/>
  <c r="AL76" i="18"/>
  <c r="AK76" i="18"/>
  <c r="AJ76" i="18"/>
  <c r="AI76" i="18"/>
  <c r="AH76" i="18"/>
  <c r="AG76" i="18"/>
  <c r="AF76" i="18"/>
  <c r="AC76" i="18"/>
  <c r="AA76" i="18"/>
  <c r="AB76" i="18"/>
  <c r="P76" i="18"/>
  <c r="U76" i="18" s="1"/>
  <c r="AN75" i="18"/>
  <c r="AM75" i="18"/>
  <c r="AL75" i="18"/>
  <c r="AK75" i="18"/>
  <c r="AJ75" i="18"/>
  <c r="AI75" i="18"/>
  <c r="AH75" i="18"/>
  <c r="AG75" i="18"/>
  <c r="AF75" i="18"/>
  <c r="AA75" i="18"/>
  <c r="Q75" i="18"/>
  <c r="AN74" i="18"/>
  <c r="AM74" i="18"/>
  <c r="AL74" i="18"/>
  <c r="AK74" i="18"/>
  <c r="AJ74" i="18"/>
  <c r="AI74" i="18"/>
  <c r="AH74" i="18"/>
  <c r="AG74" i="18"/>
  <c r="AF74" i="18"/>
  <c r="AC74" i="18"/>
  <c r="AA74" i="18"/>
  <c r="R74" i="18"/>
  <c r="Y74" i="18"/>
  <c r="AN73" i="18"/>
  <c r="AM73" i="18"/>
  <c r="AL73" i="18"/>
  <c r="AK73" i="18"/>
  <c r="AJ73" i="18"/>
  <c r="AI73" i="18"/>
  <c r="AH73" i="18"/>
  <c r="AG73" i="18"/>
  <c r="AF73" i="18"/>
  <c r="AC73" i="18"/>
  <c r="AA73" i="18"/>
  <c r="AN72" i="18"/>
  <c r="AM72" i="18"/>
  <c r="AL72" i="18"/>
  <c r="AK72" i="18"/>
  <c r="AJ72" i="18"/>
  <c r="AI72" i="18"/>
  <c r="AH72" i="18"/>
  <c r="AG72" i="18"/>
  <c r="AF72" i="18"/>
  <c r="AC72" i="18"/>
  <c r="AA72" i="18"/>
  <c r="AN71" i="18"/>
  <c r="AM71" i="18"/>
  <c r="AL71" i="18"/>
  <c r="AK71" i="18"/>
  <c r="AJ71" i="18"/>
  <c r="AI71" i="18"/>
  <c r="AH71" i="18"/>
  <c r="AG71" i="18"/>
  <c r="AF71" i="18"/>
  <c r="AA71" i="18"/>
  <c r="Q71" i="18"/>
  <c r="Y71" i="18"/>
  <c r="AN70" i="18"/>
  <c r="AM70" i="18"/>
  <c r="AL70" i="18"/>
  <c r="AK70" i="18"/>
  <c r="AR70" i="18"/>
  <c r="AJ70" i="18"/>
  <c r="AI70" i="18"/>
  <c r="AH70" i="18"/>
  <c r="AG70" i="18"/>
  <c r="AF70" i="18"/>
  <c r="AC70" i="18"/>
  <c r="P70" i="18"/>
  <c r="Y70" i="18"/>
  <c r="Z70" i="18" s="1"/>
  <c r="AN69" i="18"/>
  <c r="AM69" i="18"/>
  <c r="AL69" i="18"/>
  <c r="AK69" i="18"/>
  <c r="AJ69" i="18"/>
  <c r="AI69" i="18"/>
  <c r="AH69" i="18"/>
  <c r="AG69" i="18"/>
  <c r="AF69" i="18"/>
  <c r="AC69" i="18"/>
  <c r="AA69" i="18"/>
  <c r="Q69" i="18"/>
  <c r="AN68" i="18"/>
  <c r="AM68" i="18"/>
  <c r="AL68" i="18"/>
  <c r="AK68" i="18"/>
  <c r="AJ68" i="18"/>
  <c r="AI68" i="18"/>
  <c r="AH68" i="18"/>
  <c r="AG68" i="18"/>
  <c r="AF68" i="18"/>
  <c r="AP68" i="18"/>
  <c r="AC68" i="18"/>
  <c r="AA68" i="18"/>
  <c r="P68" i="18"/>
  <c r="U68" i="18" s="1"/>
  <c r="AN67" i="18"/>
  <c r="AM67" i="18"/>
  <c r="AL67" i="18"/>
  <c r="AK67" i="18"/>
  <c r="AJ67" i="18"/>
  <c r="AI67" i="18"/>
  <c r="AH67" i="18"/>
  <c r="AG67" i="18"/>
  <c r="AF67" i="18"/>
  <c r="AA67" i="18"/>
  <c r="Q67" i="18"/>
  <c r="Y67" i="18"/>
  <c r="AN66" i="18"/>
  <c r="AM66" i="18"/>
  <c r="AL66" i="18"/>
  <c r="AK66" i="18"/>
  <c r="AJ66" i="18"/>
  <c r="AI66" i="18"/>
  <c r="AH66" i="18"/>
  <c r="AG66" i="18"/>
  <c r="AF66" i="18"/>
  <c r="AC66" i="18"/>
  <c r="R66" i="18"/>
  <c r="Y66" i="18"/>
  <c r="AN65" i="18"/>
  <c r="AM65" i="18"/>
  <c r="AL65" i="18"/>
  <c r="AK65" i="18"/>
  <c r="AJ65" i="18"/>
  <c r="AI65" i="18"/>
  <c r="AH65" i="18"/>
  <c r="AG65" i="18"/>
  <c r="AF65" i="18"/>
  <c r="AP65" i="18"/>
  <c r="R65" i="18"/>
  <c r="AC65" i="18"/>
  <c r="AA65" i="18"/>
  <c r="AN64" i="18"/>
  <c r="AM64" i="18"/>
  <c r="AL64" i="18"/>
  <c r="AK64" i="18"/>
  <c r="AJ64" i="18"/>
  <c r="AI64" i="18"/>
  <c r="AH64" i="18"/>
  <c r="AG64" i="18"/>
  <c r="AF64" i="18"/>
  <c r="AC64" i="18"/>
  <c r="AA64" i="18"/>
  <c r="P64" i="18"/>
  <c r="AN63" i="18"/>
  <c r="AM63" i="18"/>
  <c r="AL63" i="18"/>
  <c r="AK63" i="18"/>
  <c r="AJ63" i="18"/>
  <c r="AI63" i="18"/>
  <c r="AH63" i="18"/>
  <c r="AG63" i="18"/>
  <c r="AF63" i="18"/>
  <c r="AA63" i="18"/>
  <c r="Q63" i="18"/>
  <c r="Y63" i="18"/>
  <c r="AN62" i="18"/>
  <c r="AM62" i="18"/>
  <c r="AQ62" i="18"/>
  <c r="AL62" i="18"/>
  <c r="AK62" i="18"/>
  <c r="AJ62" i="18"/>
  <c r="AI62" i="18"/>
  <c r="AH62" i="18"/>
  <c r="AG62" i="18"/>
  <c r="AF62" i="18"/>
  <c r="AC62" i="18"/>
  <c r="R62" i="18"/>
  <c r="Q62" i="18"/>
  <c r="Y62" i="18"/>
  <c r="AN61" i="18"/>
  <c r="AM61" i="18"/>
  <c r="AL61" i="18"/>
  <c r="AK61" i="18"/>
  <c r="AJ61" i="18"/>
  <c r="AI61" i="18"/>
  <c r="AH61" i="18"/>
  <c r="AG61" i="18"/>
  <c r="AF61" i="18"/>
  <c r="AC61" i="18"/>
  <c r="AA61" i="18"/>
  <c r="AN60" i="18"/>
  <c r="AM60" i="18"/>
  <c r="AL60" i="18"/>
  <c r="AK60" i="18"/>
  <c r="AJ60" i="18"/>
  <c r="AI60" i="18"/>
  <c r="AH60" i="18"/>
  <c r="AG60" i="18"/>
  <c r="AF60" i="18"/>
  <c r="AP60" i="18"/>
  <c r="AC60" i="18"/>
  <c r="AA60" i="18"/>
  <c r="AN59" i="18"/>
  <c r="AR59" i="18"/>
  <c r="AM59" i="18"/>
  <c r="AL59" i="18"/>
  <c r="AK59" i="18"/>
  <c r="AJ59" i="18"/>
  <c r="AI59" i="18"/>
  <c r="AH59" i="18"/>
  <c r="AG59" i="18"/>
  <c r="AF59" i="18"/>
  <c r="AA59" i="18"/>
  <c r="Q59" i="18"/>
  <c r="Y59" i="18"/>
  <c r="AN58" i="18"/>
  <c r="AM58" i="18"/>
  <c r="AL58" i="18"/>
  <c r="AK58" i="18"/>
  <c r="AJ58" i="18"/>
  <c r="AI58" i="18"/>
  <c r="AH58" i="18"/>
  <c r="AG58" i="18"/>
  <c r="AF58" i="18"/>
  <c r="AC58" i="18"/>
  <c r="R58" i="18"/>
  <c r="Q58" i="18"/>
  <c r="Y58" i="18"/>
  <c r="AN57" i="18"/>
  <c r="AM57" i="18"/>
  <c r="AL57" i="18"/>
  <c r="AK57" i="18"/>
  <c r="AJ57" i="18"/>
  <c r="AI57" i="18"/>
  <c r="AH57" i="18"/>
  <c r="AG57" i="18"/>
  <c r="AF57" i="18"/>
  <c r="AC57" i="18"/>
  <c r="AA57" i="18"/>
  <c r="AN56" i="18"/>
  <c r="AM56" i="18"/>
  <c r="AL56" i="18"/>
  <c r="AK56" i="18"/>
  <c r="AJ56" i="18"/>
  <c r="AI56" i="18"/>
  <c r="AP56" i="18"/>
  <c r="AH56" i="18"/>
  <c r="AG56" i="18"/>
  <c r="AF56" i="18"/>
  <c r="Q56" i="18"/>
  <c r="AC56" i="18"/>
  <c r="AA56" i="18"/>
  <c r="P56" i="18"/>
  <c r="AN55" i="18"/>
  <c r="AM55" i="18"/>
  <c r="AL55" i="18"/>
  <c r="AK55" i="18"/>
  <c r="AJ55" i="18"/>
  <c r="AI55" i="18"/>
  <c r="AH55" i="18"/>
  <c r="AG55" i="18"/>
  <c r="AF55" i="18"/>
  <c r="AA55" i="18"/>
  <c r="Q55" i="18"/>
  <c r="Y55" i="18"/>
  <c r="AN54" i="18"/>
  <c r="AM54" i="18"/>
  <c r="AL54" i="18"/>
  <c r="AK54" i="18"/>
  <c r="AJ54" i="18"/>
  <c r="AI54" i="18"/>
  <c r="AH54" i="18"/>
  <c r="AG54" i="18"/>
  <c r="AF54" i="18"/>
  <c r="AC54" i="18"/>
  <c r="Q54" i="18"/>
  <c r="Y54" i="18"/>
  <c r="AN53" i="18"/>
  <c r="AM53" i="18"/>
  <c r="AL53" i="18"/>
  <c r="AK53" i="18"/>
  <c r="AJ53" i="18"/>
  <c r="AI53" i="18"/>
  <c r="AH53" i="18"/>
  <c r="AG53" i="18"/>
  <c r="AF53" i="18"/>
  <c r="AC53" i="18"/>
  <c r="AA53" i="18"/>
  <c r="AN52" i="18"/>
  <c r="AM52" i="18"/>
  <c r="AL52" i="18"/>
  <c r="AK52" i="18"/>
  <c r="AJ52" i="18"/>
  <c r="AI52" i="18"/>
  <c r="AH52" i="18"/>
  <c r="AG52" i="18"/>
  <c r="AF52" i="18"/>
  <c r="AC52" i="18"/>
  <c r="AA52" i="18"/>
  <c r="P52" i="18"/>
  <c r="AN51" i="18"/>
  <c r="AM51" i="18"/>
  <c r="AL51" i="18"/>
  <c r="AK51" i="18"/>
  <c r="AJ51" i="18"/>
  <c r="AI51" i="18"/>
  <c r="AH51" i="18"/>
  <c r="AG51" i="18"/>
  <c r="AF51" i="18"/>
  <c r="AA51" i="18"/>
  <c r="Q51" i="18"/>
  <c r="Y51" i="18"/>
  <c r="AN50" i="18"/>
  <c r="AM50" i="18"/>
  <c r="AQ50" i="18"/>
  <c r="AL50" i="18"/>
  <c r="AK50" i="18"/>
  <c r="AJ50" i="18"/>
  <c r="AI50" i="18"/>
  <c r="AH50" i="18"/>
  <c r="AG50" i="18"/>
  <c r="AF50" i="18"/>
  <c r="AC50" i="18"/>
  <c r="R50" i="18"/>
  <c r="Y50" i="18"/>
  <c r="AN49" i="18"/>
  <c r="AM49" i="18"/>
  <c r="AL49" i="18"/>
  <c r="AK49" i="18"/>
  <c r="AJ49" i="18"/>
  <c r="AI49" i="18"/>
  <c r="AH49" i="18"/>
  <c r="AG49" i="18"/>
  <c r="AF49" i="18"/>
  <c r="AC49" i="18"/>
  <c r="R49" i="18"/>
  <c r="AA49" i="18"/>
  <c r="AN48" i="18"/>
  <c r="AM48" i="18"/>
  <c r="AL48" i="18"/>
  <c r="AK48" i="18"/>
  <c r="AJ48" i="18"/>
  <c r="AI48" i="18"/>
  <c r="AH48" i="18"/>
  <c r="AG48" i="18"/>
  <c r="AF48" i="18"/>
  <c r="AP48" i="18"/>
  <c r="R48" i="18"/>
  <c r="AC48" i="18"/>
  <c r="AA48" i="18"/>
  <c r="AN47" i="18"/>
  <c r="AM47" i="18"/>
  <c r="AL47" i="18"/>
  <c r="AK47" i="18"/>
  <c r="AJ47" i="18"/>
  <c r="AI47" i="18"/>
  <c r="AH47" i="18"/>
  <c r="AG47" i="18"/>
  <c r="AF47" i="18"/>
  <c r="AA47" i="18"/>
  <c r="Q47" i="18"/>
  <c r="Y47" i="18"/>
  <c r="AN46" i="18"/>
  <c r="AM46" i="18"/>
  <c r="AL46" i="18"/>
  <c r="AK46" i="18"/>
  <c r="AJ46" i="18"/>
  <c r="AI46" i="18"/>
  <c r="AH46" i="18"/>
  <c r="AG46" i="18"/>
  <c r="AF46" i="18"/>
  <c r="AC46" i="18"/>
  <c r="Y46" i="18"/>
  <c r="AN45" i="18"/>
  <c r="AM45" i="18"/>
  <c r="AL45" i="18"/>
  <c r="AK45" i="18"/>
  <c r="AJ45" i="18"/>
  <c r="AI45" i="18"/>
  <c r="AH45" i="18"/>
  <c r="AG45" i="18"/>
  <c r="AF45" i="18"/>
  <c r="AC45" i="18"/>
  <c r="R45" i="18"/>
  <c r="AA45" i="18"/>
  <c r="AN44" i="18"/>
  <c r="AM44" i="18"/>
  <c r="AL44" i="18"/>
  <c r="AK44" i="18"/>
  <c r="AJ44" i="18"/>
  <c r="AI44" i="18"/>
  <c r="AH44" i="18"/>
  <c r="AG44" i="18"/>
  <c r="AF44" i="18"/>
  <c r="AP44" i="18"/>
  <c r="AC44" i="18"/>
  <c r="AA44" i="18"/>
  <c r="P44" i="18"/>
  <c r="U44" i="18" s="1"/>
  <c r="AN43" i="18"/>
  <c r="AM43" i="18"/>
  <c r="AL43" i="18"/>
  <c r="AK43" i="18"/>
  <c r="AJ43" i="18"/>
  <c r="AI43" i="18"/>
  <c r="AH43" i="18"/>
  <c r="AG43" i="18"/>
  <c r="AF43" i="18"/>
  <c r="AA43" i="18"/>
  <c r="Q43" i="18"/>
  <c r="R43" i="18"/>
  <c r="Y43" i="18"/>
  <c r="AN42" i="18"/>
  <c r="AM42" i="18"/>
  <c r="AL42" i="18"/>
  <c r="AK42" i="18"/>
  <c r="AR42" i="18"/>
  <c r="AJ42" i="18"/>
  <c r="AI42" i="18"/>
  <c r="AH42" i="18"/>
  <c r="AG42" i="18"/>
  <c r="AF42" i="18"/>
  <c r="AC42" i="18"/>
  <c r="R42" i="18"/>
  <c r="Y42" i="18"/>
  <c r="AN41" i="18"/>
  <c r="AM41" i="18"/>
  <c r="AL41" i="18"/>
  <c r="AP41" i="18"/>
  <c r="AK41" i="18"/>
  <c r="AJ41" i="18"/>
  <c r="AI41" i="18"/>
  <c r="AH41" i="18"/>
  <c r="AG41" i="18"/>
  <c r="AF41" i="18"/>
  <c r="AC41" i="18"/>
  <c r="AA41" i="18"/>
  <c r="AN40" i="18"/>
  <c r="AM40" i="18"/>
  <c r="AL40" i="18"/>
  <c r="AK40" i="18"/>
  <c r="AJ40" i="18"/>
  <c r="AI40" i="18"/>
  <c r="AH40" i="18"/>
  <c r="AG40" i="18"/>
  <c r="AF40" i="18"/>
  <c r="AA40" i="18"/>
  <c r="AC40" i="18"/>
  <c r="P40" i="18"/>
  <c r="AN39" i="18"/>
  <c r="AM39" i="18"/>
  <c r="AL39" i="18"/>
  <c r="AK39" i="18"/>
  <c r="AJ39" i="18"/>
  <c r="AI39" i="18"/>
  <c r="AH39" i="18"/>
  <c r="AG39" i="18"/>
  <c r="AF39" i="18"/>
  <c r="AA39" i="18"/>
  <c r="Q39" i="18"/>
  <c r="S39" i="18" s="1"/>
  <c r="Y39" i="18"/>
  <c r="AN38" i="18"/>
  <c r="AM38" i="18"/>
  <c r="AL38" i="18"/>
  <c r="AK38" i="18"/>
  <c r="AJ38" i="18"/>
  <c r="AI38" i="18"/>
  <c r="AH38" i="18"/>
  <c r="AG38" i="18"/>
  <c r="AF38" i="18"/>
  <c r="AC38" i="18"/>
  <c r="AA38" i="18"/>
  <c r="R38" i="18"/>
  <c r="AN37" i="18"/>
  <c r="AM37" i="18"/>
  <c r="AL37" i="18"/>
  <c r="AK37" i="18"/>
  <c r="AJ37" i="18"/>
  <c r="AI37" i="18"/>
  <c r="AH37" i="18"/>
  <c r="AG37" i="18"/>
  <c r="AF37" i="18"/>
  <c r="AA37" i="18"/>
  <c r="Y37" i="18"/>
  <c r="AN36" i="18"/>
  <c r="AM36" i="18"/>
  <c r="AL36" i="18"/>
  <c r="AK36" i="18"/>
  <c r="AJ36" i="18"/>
  <c r="AI36" i="18"/>
  <c r="AH36" i="18"/>
  <c r="AG36" i="18"/>
  <c r="AF36" i="18"/>
  <c r="AC36" i="18"/>
  <c r="AA36" i="18"/>
  <c r="P36" i="18"/>
  <c r="Y36" i="18"/>
  <c r="AN35" i="18"/>
  <c r="AM35" i="18"/>
  <c r="AL35" i="18"/>
  <c r="AK35" i="18"/>
  <c r="AJ35" i="18"/>
  <c r="AI35" i="18"/>
  <c r="AH35" i="18"/>
  <c r="AG35" i="18"/>
  <c r="AF35" i="18"/>
  <c r="Y35" i="18"/>
  <c r="R35" i="18"/>
  <c r="AA35" i="18"/>
  <c r="Q35" i="18"/>
  <c r="AN34" i="18"/>
  <c r="AM34" i="18"/>
  <c r="AL34" i="18"/>
  <c r="AK34" i="18"/>
  <c r="AJ34" i="18"/>
  <c r="AI34" i="18"/>
  <c r="AH34" i="18"/>
  <c r="AG34" i="18"/>
  <c r="AF34" i="18"/>
  <c r="R34" i="18"/>
  <c r="AC34" i="18"/>
  <c r="AN33" i="18"/>
  <c r="AR33" i="18"/>
  <c r="AM33" i="18"/>
  <c r="AL33" i="18"/>
  <c r="AK33" i="18"/>
  <c r="AJ33" i="18"/>
  <c r="AI33" i="18"/>
  <c r="AH33" i="18"/>
  <c r="AG33" i="18"/>
  <c r="AF33" i="18"/>
  <c r="AA33" i="18"/>
  <c r="Q33" i="18"/>
  <c r="AN32" i="18"/>
  <c r="AM32" i="18"/>
  <c r="AQ32" i="18"/>
  <c r="AL32" i="18"/>
  <c r="AK32" i="18"/>
  <c r="AJ32" i="18"/>
  <c r="AI32" i="18"/>
  <c r="AH32" i="18"/>
  <c r="AG32" i="18"/>
  <c r="AF32" i="18"/>
  <c r="AC32" i="18"/>
  <c r="P32" i="18"/>
  <c r="AA32" i="18"/>
  <c r="Y32" i="18"/>
  <c r="AN31" i="18"/>
  <c r="AM31" i="18"/>
  <c r="AL31" i="18"/>
  <c r="AK31" i="18"/>
  <c r="AJ31" i="18"/>
  <c r="AI31" i="18"/>
  <c r="AH31" i="18"/>
  <c r="AG31" i="18"/>
  <c r="AF31" i="18"/>
  <c r="Y31" i="18"/>
  <c r="AA31" i="18"/>
  <c r="Q31" i="18"/>
  <c r="AN30" i="18"/>
  <c r="AM30" i="18"/>
  <c r="AL30" i="18"/>
  <c r="AK30" i="18"/>
  <c r="AJ30" i="18"/>
  <c r="AI30" i="18"/>
  <c r="AH30" i="18"/>
  <c r="AG30" i="18"/>
  <c r="AF30" i="18"/>
  <c r="R30" i="18"/>
  <c r="AN29" i="18"/>
  <c r="AM29" i="18"/>
  <c r="AL29" i="18"/>
  <c r="AK29" i="18"/>
  <c r="AJ29" i="18"/>
  <c r="AI29" i="18"/>
  <c r="AH29" i="18"/>
  <c r="AG29" i="18"/>
  <c r="AF29" i="18"/>
  <c r="AA29" i="18"/>
  <c r="Y29" i="18"/>
  <c r="AN28" i="18"/>
  <c r="AM28" i="18"/>
  <c r="AL28" i="18"/>
  <c r="AK28" i="18"/>
  <c r="AR28" i="18"/>
  <c r="AJ28" i="18"/>
  <c r="AI28" i="18"/>
  <c r="AH28" i="18"/>
  <c r="AG28" i="18"/>
  <c r="AF28" i="18"/>
  <c r="AC28" i="18"/>
  <c r="AD28" i="18"/>
  <c r="AA28" i="18"/>
  <c r="P28" i="18"/>
  <c r="R28" i="18"/>
  <c r="Y28" i="18"/>
  <c r="AN27" i="18"/>
  <c r="AM27" i="18"/>
  <c r="AL27" i="18"/>
  <c r="AK27" i="18"/>
  <c r="AJ27" i="18"/>
  <c r="AI27" i="18"/>
  <c r="AH27" i="18"/>
  <c r="AG27" i="18"/>
  <c r="AF27" i="18"/>
  <c r="AA27" i="18"/>
  <c r="P27" i="18"/>
  <c r="AN26" i="18"/>
  <c r="AM26" i="18"/>
  <c r="AL26" i="18"/>
  <c r="AK26" i="18"/>
  <c r="AJ26" i="18"/>
  <c r="AI26" i="18"/>
  <c r="AH26" i="18"/>
  <c r="AG26" i="18"/>
  <c r="AF26" i="18"/>
  <c r="R26" i="18"/>
  <c r="Q26" i="18"/>
  <c r="AC26" i="18"/>
  <c r="AN25" i="18"/>
  <c r="AM25" i="18"/>
  <c r="AL25" i="18"/>
  <c r="AK25" i="18"/>
  <c r="AJ25" i="18"/>
  <c r="AI25" i="18"/>
  <c r="AH25" i="18"/>
  <c r="AG25" i="18"/>
  <c r="AF25" i="18"/>
  <c r="AA25" i="18"/>
  <c r="Y25" i="18"/>
  <c r="AN24" i="18"/>
  <c r="AM24" i="18"/>
  <c r="AL24" i="18"/>
  <c r="AK24" i="18"/>
  <c r="AR24" i="18"/>
  <c r="AJ24" i="18"/>
  <c r="AI24" i="18"/>
  <c r="AH24" i="18"/>
  <c r="AG24" i="18"/>
  <c r="AF24" i="18"/>
  <c r="AC24" i="18"/>
  <c r="AA24" i="18"/>
  <c r="P24" i="18"/>
  <c r="Y24" i="18"/>
  <c r="AN23" i="18"/>
  <c r="AM23" i="18"/>
  <c r="AL23" i="18"/>
  <c r="AP23" i="18"/>
  <c r="AK23" i="18"/>
  <c r="AJ23" i="18"/>
  <c r="AI23" i="18"/>
  <c r="AH23" i="18"/>
  <c r="AG23" i="18"/>
  <c r="AF23" i="18"/>
  <c r="Y23" i="18"/>
  <c r="R23" i="18"/>
  <c r="AA23" i="18"/>
  <c r="Q23" i="18"/>
  <c r="S23" i="18" s="1"/>
  <c r="AN22" i="18"/>
  <c r="AM22" i="18"/>
  <c r="AL22" i="18"/>
  <c r="AK22" i="18"/>
  <c r="AJ22" i="18"/>
  <c r="AI22" i="18"/>
  <c r="AH22" i="18"/>
  <c r="AG22" i="18"/>
  <c r="AF22" i="18"/>
  <c r="R22" i="18"/>
  <c r="AC22" i="18"/>
  <c r="AN21" i="18"/>
  <c r="AM21" i="18"/>
  <c r="AL21" i="18"/>
  <c r="AK21" i="18"/>
  <c r="AJ21" i="18"/>
  <c r="AI21" i="18"/>
  <c r="AH21" i="18"/>
  <c r="AG21" i="18"/>
  <c r="AF21" i="18"/>
  <c r="AA21" i="18"/>
  <c r="Q21" i="18"/>
  <c r="AN20" i="18"/>
  <c r="AM20" i="18"/>
  <c r="AL20" i="18"/>
  <c r="AK20" i="18"/>
  <c r="AJ20" i="18"/>
  <c r="AI20" i="18"/>
  <c r="AH20" i="18"/>
  <c r="AG20" i="18"/>
  <c r="AF20" i="18"/>
  <c r="AC20" i="18"/>
  <c r="P20" i="18"/>
  <c r="AA20" i="18"/>
  <c r="Y20" i="18"/>
  <c r="Z20" i="18" s="1"/>
  <c r="AN19" i="18"/>
  <c r="AM19" i="18"/>
  <c r="AL19" i="18"/>
  <c r="AP19" i="18"/>
  <c r="AK19" i="18"/>
  <c r="AJ19" i="18"/>
  <c r="AI19" i="18"/>
  <c r="AH19" i="18"/>
  <c r="AR19" i="18"/>
  <c r="AG19" i="18"/>
  <c r="AF19" i="18"/>
  <c r="AA19" i="18"/>
  <c r="Q19" i="18"/>
  <c r="AN18" i="18"/>
  <c r="AM18" i="18"/>
  <c r="AL18" i="18"/>
  <c r="AK18" i="18"/>
  <c r="AJ18" i="18"/>
  <c r="AI18" i="18"/>
  <c r="AH18" i="18"/>
  <c r="AG18" i="18"/>
  <c r="AF18" i="18"/>
  <c r="R18" i="18"/>
  <c r="AC18" i="18"/>
  <c r="AN17" i="18"/>
  <c r="AM17" i="18"/>
  <c r="AL17" i="18"/>
  <c r="AK17" i="18"/>
  <c r="AJ17" i="18"/>
  <c r="AI17" i="18"/>
  <c r="AH17" i="18"/>
  <c r="AG17" i="18"/>
  <c r="AF17" i="18"/>
  <c r="AA17" i="18"/>
  <c r="Y17" i="18"/>
  <c r="AN16" i="18"/>
  <c r="AM16" i="18"/>
  <c r="AL16" i="18"/>
  <c r="AK16" i="18"/>
  <c r="AJ16" i="18"/>
  <c r="AI16" i="18"/>
  <c r="AH16" i="18"/>
  <c r="AG16" i="18"/>
  <c r="AF16" i="18"/>
  <c r="AC16" i="18"/>
  <c r="P16" i="18"/>
  <c r="AA16" i="18"/>
  <c r="Y16" i="18"/>
  <c r="AN15" i="18"/>
  <c r="AM15" i="18"/>
  <c r="AL15" i="18"/>
  <c r="AK15" i="18"/>
  <c r="AJ15" i="18"/>
  <c r="AI15" i="18"/>
  <c r="AH15" i="18"/>
  <c r="AG15" i="18"/>
  <c r="AF15" i="18"/>
  <c r="Y15" i="18"/>
  <c r="R15" i="18"/>
  <c r="AA15" i="18"/>
  <c r="Q15" i="18"/>
  <c r="AN14" i="18"/>
  <c r="AM14" i="18"/>
  <c r="AL14" i="18"/>
  <c r="AK14" i="18"/>
  <c r="AJ14" i="18"/>
  <c r="AI14" i="18"/>
  <c r="AH14" i="18"/>
  <c r="AG14" i="18"/>
  <c r="AF14" i="18"/>
  <c r="R14" i="18"/>
  <c r="AC14" i="18"/>
  <c r="AN13" i="18"/>
  <c r="AM13" i="18"/>
  <c r="AL13" i="18"/>
  <c r="AK13" i="18"/>
  <c r="AJ13" i="18"/>
  <c r="AI13" i="18"/>
  <c r="AH13" i="18"/>
  <c r="AG13" i="18"/>
  <c r="AF13" i="18"/>
  <c r="AA13" i="18"/>
  <c r="Q13" i="18"/>
  <c r="AN12" i="18"/>
  <c r="AM12" i="18"/>
  <c r="AL12" i="18"/>
  <c r="AK12" i="18"/>
  <c r="AJ12" i="18"/>
  <c r="AI12" i="18"/>
  <c r="AH12" i="18"/>
  <c r="AG12" i="18"/>
  <c r="AF12" i="18"/>
  <c r="AC12" i="18"/>
  <c r="P12" i="18"/>
  <c r="AA12" i="18"/>
  <c r="Y12" i="18"/>
  <c r="Z12" i="18"/>
  <c r="AN11" i="18"/>
  <c r="AM11" i="18"/>
  <c r="AL11" i="18"/>
  <c r="AP11" i="18"/>
  <c r="AK11" i="18"/>
  <c r="AJ11" i="18"/>
  <c r="AI11" i="18"/>
  <c r="AH11" i="18"/>
  <c r="AG11" i="18"/>
  <c r="AQ11" i="18"/>
  <c r="AS11" i="18"/>
  <c r="AF11" i="18"/>
  <c r="AA11" i="18"/>
  <c r="Q11" i="18"/>
  <c r="AP10" i="18"/>
  <c r="AN10" i="18"/>
  <c r="AM10" i="18"/>
  <c r="AL10" i="18"/>
  <c r="AK10" i="18"/>
  <c r="AJ10" i="18"/>
  <c r="AI10" i="18"/>
  <c r="AH10" i="18"/>
  <c r="AG10" i="18"/>
  <c r="AF10" i="18"/>
  <c r="R10" i="18"/>
  <c r="AC10" i="18"/>
  <c r="AN9" i="18"/>
  <c r="AR9" i="18"/>
  <c r="AM9" i="18"/>
  <c r="AL9" i="18"/>
  <c r="AK9" i="18"/>
  <c r="AJ9" i="18"/>
  <c r="AI9" i="18"/>
  <c r="AH9" i="18"/>
  <c r="AG9" i="18"/>
  <c r="AF9" i="18"/>
  <c r="AP9" i="18"/>
  <c r="AA9" i="18"/>
  <c r="Q9" i="18"/>
  <c r="AN8" i="18"/>
  <c r="AM8" i="18"/>
  <c r="AL8" i="18"/>
  <c r="AK8" i="18"/>
  <c r="AJ8" i="18"/>
  <c r="AI8" i="18"/>
  <c r="AH8" i="18"/>
  <c r="AG8" i="18"/>
  <c r="AF8" i="18"/>
  <c r="AC8" i="18"/>
  <c r="AA8" i="18"/>
  <c r="P8" i="18"/>
  <c r="Y8" i="18"/>
  <c r="AN7" i="18"/>
  <c r="AM7" i="18"/>
  <c r="AL7" i="18"/>
  <c r="AK7" i="18"/>
  <c r="AJ7" i="18"/>
  <c r="AI7" i="18"/>
  <c r="AH7" i="18"/>
  <c r="AG7" i="18"/>
  <c r="AF7" i="18"/>
  <c r="N138" i="18"/>
  <c r="AN6" i="18"/>
  <c r="AM6" i="18"/>
  <c r="AL6" i="18"/>
  <c r="AK6" i="18"/>
  <c r="AJ6" i="18"/>
  <c r="AI6" i="18"/>
  <c r="AH6" i="18"/>
  <c r="AG6" i="18"/>
  <c r="AF6" i="18"/>
  <c r="AA6" i="18"/>
  <c r="AC6" i="18"/>
  <c r="R6" i="18"/>
  <c r="AN5" i="18"/>
  <c r="AM5" i="18"/>
  <c r="AL5" i="18"/>
  <c r="AK5" i="18"/>
  <c r="AJ5" i="18"/>
  <c r="AI5" i="18"/>
  <c r="AH5" i="18"/>
  <c r="AG5" i="18"/>
  <c r="AF5" i="18"/>
  <c r="AA5" i="18"/>
  <c r="P5" i="18"/>
  <c r="AP22" i="18"/>
  <c r="AR41" i="18"/>
  <c r="AQ48" i="18"/>
  <c r="AS48" i="18"/>
  <c r="AR54" i="18"/>
  <c r="AQ57" i="18"/>
  <c r="AP14" i="18"/>
  <c r="AP72" i="18"/>
  <c r="AP76" i="18"/>
  <c r="AS107" i="18"/>
  <c r="AP111" i="18"/>
  <c r="AQ15" i="18"/>
  <c r="AQ43" i="18"/>
  <c r="AQ61" i="18"/>
  <c r="AQ17" i="18"/>
  <c r="AQ31" i="18"/>
  <c r="AQ44" i="18"/>
  <c r="AS44" i="18"/>
  <c r="AP59" i="18"/>
  <c r="AQ60" i="18"/>
  <c r="AS60" i="18"/>
  <c r="AR78" i="18"/>
  <c r="AR89" i="18"/>
  <c r="AP92" i="18"/>
  <c r="AP95" i="18"/>
  <c r="AP103" i="18"/>
  <c r="J140" i="21"/>
  <c r="N137" i="21"/>
  <c r="AR8" i="18"/>
  <c r="AQ24" i="18"/>
  <c r="AP26" i="18"/>
  <c r="AQ27" i="18"/>
  <c r="AR29" i="18"/>
  <c r="AR32" i="18"/>
  <c r="AP35" i="18"/>
  <c r="AP37" i="18"/>
  <c r="AQ42" i="18"/>
  <c r="AQ65" i="18"/>
  <c r="AS65" i="18"/>
  <c r="AP66" i="18"/>
  <c r="AQ77" i="18"/>
  <c r="AQ113" i="18"/>
  <c r="AP120" i="18"/>
  <c r="AR122" i="18"/>
  <c r="AQ130" i="18"/>
  <c r="AS130" i="18"/>
  <c r="AR131" i="18"/>
  <c r="AR5" i="18"/>
  <c r="AR16" i="18"/>
  <c r="AR25" i="18"/>
  <c r="AP29" i="18"/>
  <c r="AP31" i="18"/>
  <c r="AR35" i="18"/>
  <c r="AR37" i="18"/>
  <c r="AR50" i="18"/>
  <c r="AR58" i="18"/>
  <c r="AR62" i="18"/>
  <c r="AQ70" i="18"/>
  <c r="AQ73" i="18"/>
  <c r="AQ76" i="18"/>
  <c r="AS76" i="18"/>
  <c r="AP102" i="18"/>
  <c r="AQ103" i="18"/>
  <c r="AS103" i="18"/>
  <c r="AQ112" i="18"/>
  <c r="AR113" i="18"/>
  <c r="AP115" i="18"/>
  <c r="AP116" i="18"/>
  <c r="AQ117" i="18"/>
  <c r="AR118" i="18"/>
  <c r="AQ121" i="18"/>
  <c r="AP124" i="18"/>
  <c r="AQ126" i="18"/>
  <c r="AR126" i="18"/>
  <c r="AR132" i="18"/>
  <c r="AF6" i="21"/>
  <c r="AG11" i="21"/>
  <c r="AF14" i="21"/>
  <c r="AG15" i="21"/>
  <c r="AF18" i="21"/>
  <c r="AG19" i="21"/>
  <c r="AF22" i="21"/>
  <c r="AG23" i="21"/>
  <c r="AF26" i="21"/>
  <c r="AG27" i="21"/>
  <c r="AG29" i="21"/>
  <c r="AP13" i="18"/>
  <c r="AR13" i="18"/>
  <c r="AQ14" i="18"/>
  <c r="AS14" i="18"/>
  <c r="AP18" i="18"/>
  <c r="AQ19" i="18"/>
  <c r="AS19" i="18"/>
  <c r="AQ23" i="18"/>
  <c r="AS23" i="18"/>
  <c r="AP34" i="18"/>
  <c r="AQ38" i="18"/>
  <c r="AP40" i="18"/>
  <c r="AQ54" i="18"/>
  <c r="AQ67" i="18"/>
  <c r="AQ68" i="18"/>
  <c r="AS68" i="18"/>
  <c r="AQ74" i="18"/>
  <c r="AS74" i="18"/>
  <c r="AR74" i="18"/>
  <c r="AP82" i="18"/>
  <c r="AQ86" i="18"/>
  <c r="AR86" i="18"/>
  <c r="AQ96" i="18"/>
  <c r="AS96" i="18"/>
  <c r="AR97" i="18"/>
  <c r="AR101" i="18"/>
  <c r="AR105" i="18"/>
  <c r="AR112" i="18"/>
  <c r="AP114" i="18"/>
  <c r="AR117" i="18"/>
  <c r="AP119" i="18"/>
  <c r="AQ120" i="18"/>
  <c r="AQ125" i="18"/>
  <c r="AG80" i="21"/>
  <c r="AG88" i="21"/>
  <c r="AG96" i="21"/>
  <c r="AG112" i="21"/>
  <c r="AG116" i="21"/>
  <c r="AG120" i="21"/>
  <c r="AG124" i="21"/>
  <c r="AG128" i="21"/>
  <c r="AG132" i="21"/>
  <c r="M138" i="21"/>
  <c r="AG111" i="21"/>
  <c r="AP6" i="18"/>
  <c r="AR31" i="18"/>
  <c r="AP33" i="18"/>
  <c r="AQ34" i="18"/>
  <c r="AS34" i="18"/>
  <c r="AQ16" i="18"/>
  <c r="AR20" i="18"/>
  <c r="AR23" i="18"/>
  <c r="AP24" i="18"/>
  <c r="AP25" i="18"/>
  <c r="AQ29" i="18"/>
  <c r="AS29" i="18"/>
  <c r="AQ33" i="18"/>
  <c r="AQ45" i="18"/>
  <c r="AR46" i="18"/>
  <c r="AQ49" i="18"/>
  <c r="AS49" i="18"/>
  <c r="AP51" i="18"/>
  <c r="AR51" i="18"/>
  <c r="AP52" i="18"/>
  <c r="AQ53" i="18"/>
  <c r="AP55" i="18"/>
  <c r="AR55" i="18"/>
  <c r="AQ93" i="18"/>
  <c r="AS120" i="18"/>
  <c r="AQ122" i="18"/>
  <c r="AQ9" i="18"/>
  <c r="AS9" i="18"/>
  <c r="AR11" i="18"/>
  <c r="AR36" i="18"/>
  <c r="AR6" i="18"/>
  <c r="AQ8" i="18"/>
  <c r="AR12" i="18"/>
  <c r="AR15" i="18"/>
  <c r="AP15" i="18"/>
  <c r="AS15" i="18"/>
  <c r="AP17" i="18"/>
  <c r="AS17" i="18"/>
  <c r="AR17" i="18"/>
  <c r="AQ18" i="18"/>
  <c r="AS18" i="18"/>
  <c r="AQ20" i="18"/>
  <c r="AP21" i="18"/>
  <c r="AR21" i="18"/>
  <c r="AQ22" i="18"/>
  <c r="AS22" i="18"/>
  <c r="AQ26" i="18"/>
  <c r="AS26" i="18"/>
  <c r="AP30" i="18"/>
  <c r="AQ35" i="18"/>
  <c r="AP36" i="18"/>
  <c r="AQ37" i="18"/>
  <c r="AS37" i="18"/>
  <c r="AQ40" i="18"/>
  <c r="AQ41" i="18"/>
  <c r="AS41" i="18"/>
  <c r="AR45" i="18"/>
  <c r="AP45" i="18"/>
  <c r="AR49" i="18"/>
  <c r="AP49" i="18"/>
  <c r="AR53" i="18"/>
  <c r="AP53" i="18"/>
  <c r="AR66" i="18"/>
  <c r="AQ69" i="18"/>
  <c r="AP71" i="18"/>
  <c r="AR71" i="18"/>
  <c r="AQ72" i="18"/>
  <c r="AS72" i="18"/>
  <c r="AR82" i="18"/>
  <c r="AR93" i="18"/>
  <c r="AQ108" i="18"/>
  <c r="AR109" i="18"/>
  <c r="AP113" i="18"/>
  <c r="AR115" i="18"/>
  <c r="AP127" i="18"/>
  <c r="S165" i="18"/>
  <c r="AQ56" i="18"/>
  <c r="AS56" i="18"/>
  <c r="AQ58" i="18"/>
  <c r="AP63" i="18"/>
  <c r="AR63" i="18"/>
  <c r="AP64" i="18"/>
  <c r="AR69" i="18"/>
  <c r="AP69" i="18"/>
  <c r="AP83" i="18"/>
  <c r="AP88" i="18"/>
  <c r="AQ91" i="18"/>
  <c r="AR92" i="18"/>
  <c r="AQ95" i="18"/>
  <c r="AS95" i="18"/>
  <c r="AR102" i="18"/>
  <c r="AR108" i="18"/>
  <c r="AP110" i="18"/>
  <c r="AQ111" i="18"/>
  <c r="AS111" i="18"/>
  <c r="AR114" i="18"/>
  <c r="AS131" i="18"/>
  <c r="AF32" i="21"/>
  <c r="AG33" i="21"/>
  <c r="AF36" i="21"/>
  <c r="AG37" i="21"/>
  <c r="AF40" i="21"/>
  <c r="AG41" i="21"/>
  <c r="AF44" i="21"/>
  <c r="AG45" i="21"/>
  <c r="AF48" i="21"/>
  <c r="AG49" i="21"/>
  <c r="AF52" i="21"/>
  <c r="AG53" i="21"/>
  <c r="AF56" i="21"/>
  <c r="AG57" i="21"/>
  <c r="AF60" i="21"/>
  <c r="AG61" i="21"/>
  <c r="AF64" i="21"/>
  <c r="AG65" i="21"/>
  <c r="AG67" i="21"/>
  <c r="U135" i="21"/>
  <c r="AG71" i="21"/>
  <c r="AG76" i="21"/>
  <c r="AG84" i="21"/>
  <c r="AG92" i="21"/>
  <c r="AG99" i="21"/>
  <c r="AG103" i="21"/>
  <c r="AG107" i="21"/>
  <c r="AG114" i="21"/>
  <c r="AG118" i="21"/>
  <c r="AG122" i="21"/>
  <c r="AG126" i="21"/>
  <c r="AG130" i="21"/>
  <c r="AQ13" i="18"/>
  <c r="AS13" i="18"/>
  <c r="AQ21" i="18"/>
  <c r="AS21" i="18"/>
  <c r="AR26" i="18"/>
  <c r="AR27" i="18"/>
  <c r="AP27" i="18"/>
  <c r="AQ28" i="18"/>
  <c r="AQ36" i="18"/>
  <c r="AR38" i="18"/>
  <c r="AR40" i="18"/>
  <c r="AP42" i="18"/>
  <c r="AP47" i="18"/>
  <c r="AR47" i="18"/>
  <c r="AQ51" i="18"/>
  <c r="AS51" i="18"/>
  <c r="AQ52" i="18"/>
  <c r="AS52" i="18"/>
  <c r="AR56" i="18"/>
  <c r="AR57" i="18"/>
  <c r="AP57" i="18"/>
  <c r="AQ63" i="18"/>
  <c r="AQ64" i="18"/>
  <c r="AS64" i="18"/>
  <c r="AQ66" i="18"/>
  <c r="AP73" i="18"/>
  <c r="AR75" i="18"/>
  <c r="AR77" i="18"/>
  <c r="AR79" i="18"/>
  <c r="AR80" i="18"/>
  <c r="AR81" i="18"/>
  <c r="AQ82" i="18"/>
  <c r="AS82" i="18"/>
  <c r="AP87" i="18"/>
  <c r="AQ88" i="18"/>
  <c r="AS88" i="18"/>
  <c r="AP91" i="18"/>
  <c r="AQ92" i="18"/>
  <c r="AS92" i="18"/>
  <c r="AR94" i="18"/>
  <c r="AR99" i="18"/>
  <c r="AR100" i="18"/>
  <c r="AP106" i="18"/>
  <c r="AQ114" i="18"/>
  <c r="AQ116" i="18"/>
  <c r="AS116" i="18"/>
  <c r="AQ118" i="18"/>
  <c r="AR121" i="18"/>
  <c r="AR125" i="18"/>
  <c r="AQ128" i="18"/>
  <c r="AP129" i="18"/>
  <c r="AR129" i="18"/>
  <c r="AQ132" i="18"/>
  <c r="S168" i="18"/>
  <c r="N139" i="21"/>
  <c r="J137" i="21"/>
  <c r="T137" i="21"/>
  <c r="AG131" i="21"/>
  <c r="AG8" i="21"/>
  <c r="K137" i="21"/>
  <c r="U137" i="21"/>
  <c r="AF11" i="21"/>
  <c r="AG12" i="21"/>
  <c r="AF15" i="21"/>
  <c r="AG16" i="21"/>
  <c r="AF19" i="21"/>
  <c r="AG20" i="21"/>
  <c r="AF23" i="21"/>
  <c r="AG24" i="21"/>
  <c r="AF27" i="21"/>
  <c r="AG28" i="21"/>
  <c r="AP39" i="18"/>
  <c r="AR39" i="18"/>
  <c r="AP43" i="18"/>
  <c r="AS43" i="18"/>
  <c r="AR43" i="18"/>
  <c r="AQ46" i="18"/>
  <c r="AR48" i="18"/>
  <c r="AP50" i="18"/>
  <c r="AQ59" i="18"/>
  <c r="AS59" i="18"/>
  <c r="AR60" i="18"/>
  <c r="AR61" i="18"/>
  <c r="AP61" i="18"/>
  <c r="AS61" i="18"/>
  <c r="AP62" i="18"/>
  <c r="AP67" i="18"/>
  <c r="AS67" i="18"/>
  <c r="AR67" i="18"/>
  <c r="AR72" i="18"/>
  <c r="AR73" i="18"/>
  <c r="AP74" i="18"/>
  <c r="AP75" i="18"/>
  <c r="AP78" i="18"/>
  <c r="AP79" i="18"/>
  <c r="AS79" i="18"/>
  <c r="AP81" i="18"/>
  <c r="AS81" i="18"/>
  <c r="AR85" i="18"/>
  <c r="AQ97" i="18"/>
  <c r="AP101" i="18"/>
  <c r="AQ101" i="18"/>
  <c r="AR104" i="18"/>
  <c r="AP123" i="18"/>
  <c r="AQ124" i="18"/>
  <c r="AS124" i="18"/>
  <c r="AQ127" i="18"/>
  <c r="AS127" i="18"/>
  <c r="AR130" i="18"/>
  <c r="AF8" i="21"/>
  <c r="AG9" i="21"/>
  <c r="M137" i="21"/>
  <c r="AF12" i="21"/>
  <c r="AG13" i="21"/>
  <c r="AF16" i="21"/>
  <c r="AG17" i="21"/>
  <c r="AF20" i="21"/>
  <c r="AG21" i="21"/>
  <c r="AF24" i="21"/>
  <c r="AG25" i="21"/>
  <c r="AF28" i="21"/>
  <c r="AF31" i="21"/>
  <c r="AG32" i="21"/>
  <c r="AF35" i="21"/>
  <c r="AG36" i="21"/>
  <c r="AF39" i="21"/>
  <c r="AG40" i="21"/>
  <c r="AF43" i="21"/>
  <c r="AG44" i="21"/>
  <c r="AF47" i="21"/>
  <c r="AG48" i="21"/>
  <c r="AF51" i="21"/>
  <c r="AG52" i="21"/>
  <c r="AF55" i="21"/>
  <c r="AG56" i="21"/>
  <c r="AF59" i="21"/>
  <c r="AG60" i="21"/>
  <c r="AF63" i="21"/>
  <c r="AG64" i="21"/>
  <c r="AG66" i="21"/>
  <c r="AG70" i="21"/>
  <c r="AG74" i="21"/>
  <c r="AG78" i="21"/>
  <c r="AG86" i="21"/>
  <c r="AG94" i="21"/>
  <c r="AG102" i="21"/>
  <c r="AG108" i="21"/>
  <c r="AG117" i="21"/>
  <c r="AG121" i="21"/>
  <c r="AG125" i="21"/>
  <c r="AG129" i="21"/>
  <c r="D57" i="17"/>
  <c r="D55" i="17" s="1"/>
  <c r="D43" i="17"/>
  <c r="D59" i="17"/>
  <c r="E59" i="17"/>
  <c r="B58" i="17"/>
  <c r="E58" i="17" s="1"/>
  <c r="E41" i="17"/>
  <c r="U44" i="23"/>
  <c r="P137" i="23"/>
  <c r="U124" i="23"/>
  <c r="V141" i="23"/>
  <c r="K138" i="23"/>
  <c r="H137" i="23"/>
  <c r="U88" i="23"/>
  <c r="S137" i="23"/>
  <c r="S136" i="23"/>
  <c r="U45" i="23"/>
  <c r="P136" i="23"/>
  <c r="U57" i="23"/>
  <c r="U37" i="23"/>
  <c r="U29" i="23"/>
  <c r="U21" i="23"/>
  <c r="U9" i="23"/>
  <c r="U121" i="23"/>
  <c r="U81" i="23"/>
  <c r="U65" i="23"/>
  <c r="U33" i="23"/>
  <c r="U13" i="23"/>
  <c r="U93" i="23"/>
  <c r="U117" i="23"/>
  <c r="U73" i="23"/>
  <c r="U97" i="23"/>
  <c r="U109" i="23"/>
  <c r="H136" i="23"/>
  <c r="AL6" i="22"/>
  <c r="AL12" i="22"/>
  <c r="AI43" i="22"/>
  <c r="AI121" i="22"/>
  <c r="M113" i="22"/>
  <c r="AI49" i="22"/>
  <c r="AB134" i="22"/>
  <c r="AB141" i="22"/>
  <c r="AI42" i="22"/>
  <c r="AI37" i="22"/>
  <c r="M33" i="22"/>
  <c r="AI45" i="22"/>
  <c r="AI12" i="22"/>
  <c r="AL64" i="22"/>
  <c r="AL106" i="22"/>
  <c r="AI89" i="22"/>
  <c r="H21" i="22"/>
  <c r="AI14" i="22"/>
  <c r="AI19" i="22"/>
  <c r="AI32" i="22"/>
  <c r="AH33" i="22"/>
  <c r="AH49" i="22"/>
  <c r="AH73" i="22"/>
  <c r="AI26" i="22"/>
  <c r="AI6" i="22"/>
  <c r="AH29" i="22"/>
  <c r="AH45" i="22"/>
  <c r="AI74" i="22"/>
  <c r="AI50" i="22"/>
  <c r="AI15" i="22"/>
  <c r="AI40" i="22"/>
  <c r="AI72" i="22"/>
  <c r="AL80" i="22"/>
  <c r="AI81" i="22"/>
  <c r="AI62" i="22"/>
  <c r="AI38" i="22"/>
  <c r="Q38" i="22"/>
  <c r="AI9" i="22"/>
  <c r="AK130" i="22"/>
  <c r="M85" i="22"/>
  <c r="M41" i="22"/>
  <c r="AI8" i="22"/>
  <c r="G16" i="22"/>
  <c r="AH21" i="22"/>
  <c r="M27" i="22"/>
  <c r="S33" i="22"/>
  <c r="P38" i="22"/>
  <c r="T41" i="22"/>
  <c r="AK56" i="22"/>
  <c r="AI70" i="22"/>
  <c r="L71" i="22"/>
  <c r="L71" i="23" s="1"/>
  <c r="U71" i="23" s="1"/>
  <c r="M73" i="22"/>
  <c r="L75" i="22"/>
  <c r="L75" i="23" s="1"/>
  <c r="U75" i="23" s="1"/>
  <c r="AI77" i="22"/>
  <c r="AI92" i="22"/>
  <c r="M95" i="22"/>
  <c r="M97" i="22"/>
  <c r="AK99" i="22"/>
  <c r="AH102" i="22"/>
  <c r="AH113" i="22"/>
  <c r="H121" i="22"/>
  <c r="M129" i="22"/>
  <c r="AH130" i="22"/>
  <c r="M109" i="22"/>
  <c r="M61" i="22"/>
  <c r="G8" i="22"/>
  <c r="M11" i="22"/>
  <c r="G12" i="22"/>
  <c r="AH13" i="22"/>
  <c r="AH17" i="22"/>
  <c r="AH26" i="22"/>
  <c r="L35" i="22"/>
  <c r="L35" i="23" s="1"/>
  <c r="U35" i="23" s="1"/>
  <c r="H52" i="22"/>
  <c r="AI61" i="22"/>
  <c r="M67" i="22"/>
  <c r="AI90" i="22"/>
  <c r="L99" i="22"/>
  <c r="L99" i="23" s="1"/>
  <c r="U99" i="23" s="1"/>
  <c r="AI104" i="22"/>
  <c r="AI112" i="22"/>
  <c r="AH117" i="22"/>
  <c r="AH125" i="22"/>
  <c r="AI127" i="22"/>
  <c r="H29" i="22"/>
  <c r="AK129" i="22"/>
  <c r="AI11" i="22"/>
  <c r="P26" i="22"/>
  <c r="L63" i="22"/>
  <c r="L63" i="23" s="1"/>
  <c r="U63" i="23" s="1"/>
  <c r="AI68" i="22"/>
  <c r="AI80" i="22"/>
  <c r="AK90" i="22"/>
  <c r="G100" i="22"/>
  <c r="L119" i="22"/>
  <c r="L119" i="23" s="1"/>
  <c r="U119" i="23" s="1"/>
  <c r="P130" i="22"/>
  <c r="R141" i="22"/>
  <c r="T33" i="22"/>
  <c r="S97" i="22"/>
  <c r="AJ125" i="22"/>
  <c r="AJ121" i="22"/>
  <c r="AJ117" i="22"/>
  <c r="AJ113" i="22"/>
  <c r="AJ97" i="22"/>
  <c r="AJ73" i="22"/>
  <c r="AJ69" i="22"/>
  <c r="AJ57" i="22"/>
  <c r="AJ45" i="22"/>
  <c r="AJ33" i="22"/>
  <c r="AL33" i="22"/>
  <c r="AJ29" i="22"/>
  <c r="AJ21" i="22"/>
  <c r="AJ13" i="22"/>
  <c r="AL63" i="22"/>
  <c r="AJ9" i="22"/>
  <c r="AL9" i="22"/>
  <c r="O141" i="22"/>
  <c r="P117" i="22"/>
  <c r="AJ105" i="22"/>
  <c r="AJ109" i="22"/>
  <c r="AJ101" i="22"/>
  <c r="AL103" i="22"/>
  <c r="M81" i="22"/>
  <c r="L113" i="22"/>
  <c r="L113" i="23" s="1"/>
  <c r="U113" i="23" s="1"/>
  <c r="M9" i="22"/>
  <c r="M13" i="22"/>
  <c r="L41" i="22"/>
  <c r="L41" i="23" s="1"/>
  <c r="U41" i="23" s="1"/>
  <c r="L85" i="22"/>
  <c r="L85" i="23" s="1"/>
  <c r="U85" i="23" s="1"/>
  <c r="M117" i="22"/>
  <c r="M93" i="22"/>
  <c r="F141" i="22"/>
  <c r="H9" i="22"/>
  <c r="H33" i="22"/>
  <c r="G81" i="22"/>
  <c r="G125" i="22"/>
  <c r="G25" i="22"/>
  <c r="G29" i="22"/>
  <c r="H77" i="22"/>
  <c r="H109" i="22"/>
  <c r="H129" i="22"/>
  <c r="H17" i="22"/>
  <c r="H41" i="22"/>
  <c r="G61" i="22"/>
  <c r="G89" i="22"/>
  <c r="AD38" i="18"/>
  <c r="Y85" i="18"/>
  <c r="Z85" i="18" s="1"/>
  <c r="P85" i="18"/>
  <c r="P82" i="18"/>
  <c r="Z82" i="18" s="1"/>
  <c r="AA82" i="18"/>
  <c r="P78" i="18"/>
  <c r="AA78" i="18"/>
  <c r="AB70" i="18"/>
  <c r="S61" i="18"/>
  <c r="W61" i="23" s="1"/>
  <c r="X61" i="18"/>
  <c r="P15" i="18"/>
  <c r="Z15" i="18" s="1"/>
  <c r="P23" i="18"/>
  <c r="AD23" i="18" s="1"/>
  <c r="Z23" i="18"/>
  <c r="P26" i="18"/>
  <c r="H137" i="18"/>
  <c r="D9" i="17" s="1"/>
  <c r="D27" i="17" s="1"/>
  <c r="P35" i="18"/>
  <c r="AD35" i="18" s="1"/>
  <c r="Z39" i="18"/>
  <c r="P54" i="18"/>
  <c r="P65" i="18"/>
  <c r="P66" i="18"/>
  <c r="S66" i="18"/>
  <c r="W66" i="23" s="1"/>
  <c r="P113" i="18"/>
  <c r="Z113" i="18" s="1"/>
  <c r="AB38" i="18"/>
  <c r="AA122" i="18"/>
  <c r="P122" i="18"/>
  <c r="P119" i="18"/>
  <c r="AC119" i="18"/>
  <c r="AA110" i="18"/>
  <c r="P110" i="18"/>
  <c r="Y109" i="18"/>
  <c r="Z109" i="18" s="1"/>
  <c r="P109" i="18"/>
  <c r="AA106" i="18"/>
  <c r="P106" i="18"/>
  <c r="AB106" i="18" s="1"/>
  <c r="Y105" i="18"/>
  <c r="P105" i="18"/>
  <c r="AB105" i="18" s="1"/>
  <c r="AC95" i="18"/>
  <c r="P95" i="18"/>
  <c r="AB95" i="18" s="1"/>
  <c r="AA94" i="18"/>
  <c r="AB94" i="18"/>
  <c r="P94" i="18"/>
  <c r="AC87" i="18"/>
  <c r="P87" i="18"/>
  <c r="S85" i="18"/>
  <c r="W85" i="23" s="1"/>
  <c r="AB54" i="18"/>
  <c r="Y53" i="18"/>
  <c r="P53" i="18"/>
  <c r="AB53" i="18" s="1"/>
  <c r="J138" i="18"/>
  <c r="L137" i="18"/>
  <c r="P31" i="18"/>
  <c r="Z31" i="18" s="1"/>
  <c r="S35" i="18"/>
  <c r="W35" i="23" s="1"/>
  <c r="P46" i="18"/>
  <c r="P50" i="18"/>
  <c r="P58" i="18"/>
  <c r="P62" i="18"/>
  <c r="S62" i="18" s="1"/>
  <c r="Y89" i="18"/>
  <c r="Z89" i="18" s="1"/>
  <c r="AC103" i="18"/>
  <c r="P121" i="18"/>
  <c r="Y121" i="18"/>
  <c r="Z121" i="18" s="1"/>
  <c r="Y117" i="18"/>
  <c r="P117" i="18"/>
  <c r="AD117" i="18" s="1"/>
  <c r="P101" i="18"/>
  <c r="Y101" i="18"/>
  <c r="S94" i="18"/>
  <c r="W94" i="23" s="1"/>
  <c r="P91" i="18"/>
  <c r="AC91" i="18"/>
  <c r="AA86" i="18"/>
  <c r="AB86" i="18"/>
  <c r="P86" i="18"/>
  <c r="AC83" i="18"/>
  <c r="P83" i="18"/>
  <c r="Y69" i="18"/>
  <c r="Z69" i="18" s="1"/>
  <c r="P69" i="18"/>
  <c r="S69" i="18"/>
  <c r="W69" i="23" s="1"/>
  <c r="Y45" i="18"/>
  <c r="P45" i="18"/>
  <c r="S45" i="18" s="1"/>
  <c r="W45" i="23" s="1"/>
  <c r="Z28" i="18"/>
  <c r="M138" i="18"/>
  <c r="P11" i="18"/>
  <c r="S11" i="18" s="1"/>
  <c r="P19" i="18"/>
  <c r="AB23" i="18"/>
  <c r="AD26" i="18"/>
  <c r="AB28" i="18"/>
  <c r="AB35" i="18"/>
  <c r="AC39" i="18"/>
  <c r="AD39" i="18"/>
  <c r="P42" i="18"/>
  <c r="AD69" i="18"/>
  <c r="P77" i="18"/>
  <c r="P97" i="18"/>
  <c r="S97" i="18" s="1"/>
  <c r="P114" i="18"/>
  <c r="S114" i="18" s="1"/>
  <c r="W114" i="23" s="1"/>
  <c r="AA118" i="18"/>
  <c r="AB118" i="18"/>
  <c r="Z122" i="18"/>
  <c r="AC123" i="18"/>
  <c r="P126" i="18"/>
  <c r="Z54" i="18"/>
  <c r="Z58" i="18"/>
  <c r="AB84" i="18"/>
  <c r="AB85" i="18"/>
  <c r="AD89" i="18"/>
  <c r="AB96" i="18"/>
  <c r="AB112" i="18"/>
  <c r="Z86" i="18"/>
  <c r="AB103" i="18"/>
  <c r="AB104" i="18"/>
  <c r="AB121" i="18"/>
  <c r="AB123" i="18"/>
  <c r="AB40" i="18"/>
  <c r="AB44" i="18"/>
  <c r="AB52" i="18"/>
  <c r="AD56" i="18"/>
  <c r="AB68" i="18"/>
  <c r="AB69" i="18"/>
  <c r="AD74" i="18"/>
  <c r="AD85" i="18"/>
  <c r="AB89" i="18"/>
  <c r="AD96" i="18"/>
  <c r="Z104" i="18"/>
  <c r="AB119" i="18"/>
  <c r="I30" i="17"/>
  <c r="I31" i="17"/>
  <c r="H26" i="17"/>
  <c r="I28" i="17"/>
  <c r="I29" i="17"/>
  <c r="K33" i="17"/>
  <c r="K17" i="17"/>
  <c r="K18" i="17" s="1"/>
  <c r="C19" i="17"/>
  <c r="E19" i="17"/>
  <c r="E20" i="17"/>
  <c r="K28" i="17"/>
  <c r="K29" i="17"/>
  <c r="K30" i="17"/>
  <c r="K31" i="17"/>
  <c r="K39" i="17"/>
  <c r="H36" i="17"/>
  <c r="H47" i="17"/>
  <c r="C56" i="17"/>
  <c r="E38" i="17"/>
  <c r="H62" i="17"/>
  <c r="K49" i="17"/>
  <c r="B43" i="17"/>
  <c r="E43" i="17"/>
  <c r="B56" i="17"/>
  <c r="H61" i="17"/>
  <c r="I68" i="17"/>
  <c r="H13" i="17"/>
  <c r="H48" i="17" s="1"/>
  <c r="I19" i="17"/>
  <c r="I20" i="17" s="1"/>
  <c r="I33" i="17"/>
  <c r="E21" i="17"/>
  <c r="L47" i="17"/>
  <c r="K48" i="17"/>
  <c r="E44" i="17"/>
  <c r="K47" i="17"/>
  <c r="J68" i="17"/>
  <c r="H60" i="17"/>
  <c r="L15" i="17"/>
  <c r="H15" i="17" s="1"/>
  <c r="J33" i="17"/>
  <c r="J17" i="17"/>
  <c r="J18" i="17" s="1"/>
  <c r="I17" i="17"/>
  <c r="I18" i="17" s="1"/>
  <c r="K19" i="17"/>
  <c r="K20" i="17"/>
  <c r="J30" i="17"/>
  <c r="J31" i="17"/>
  <c r="I47" i="17"/>
  <c r="L48" i="17"/>
  <c r="H38" i="17"/>
  <c r="I39" i="17"/>
  <c r="B57" i="17"/>
  <c r="L43" i="17"/>
  <c r="L44" i="17"/>
  <c r="L41" i="17"/>
  <c r="L42" i="17"/>
  <c r="J48" i="17"/>
  <c r="E50" i="17"/>
  <c r="K67" i="17"/>
  <c r="H67" i="17" s="1"/>
  <c r="H59" i="17"/>
  <c r="H14" i="17"/>
  <c r="E15" i="17"/>
  <c r="C13" i="17"/>
  <c r="E13" i="17"/>
  <c r="E17" i="17"/>
  <c r="E23" i="17"/>
  <c r="L28" i="17"/>
  <c r="L29" i="17"/>
  <c r="J49" i="17"/>
  <c r="E39" i="17"/>
  <c r="E49" i="17"/>
  <c r="L63" i="17"/>
  <c r="H63" i="17" s="1"/>
  <c r="J39" i="17"/>
  <c r="C57" i="17"/>
  <c r="Z138" i="19"/>
  <c r="Z139" i="19"/>
  <c r="Z137" i="19"/>
  <c r="AA137" i="20"/>
  <c r="AB138" i="20"/>
  <c r="Z137" i="20"/>
  <c r="AA138" i="20"/>
  <c r="AB139" i="20"/>
  <c r="Z138" i="20"/>
  <c r="V135" i="20"/>
  <c r="X140" i="20"/>
  <c r="W135" i="20"/>
  <c r="N135" i="21"/>
  <c r="N140" i="21"/>
  <c r="AC140" i="21"/>
  <c r="AC135" i="21"/>
  <c r="AM135" i="21"/>
  <c r="AG5" i="21"/>
  <c r="AG7" i="21"/>
  <c r="AG10" i="21"/>
  <c r="AG30" i="21"/>
  <c r="AF103" i="21"/>
  <c r="AA103" i="21"/>
  <c r="AF111" i="21"/>
  <c r="AA111" i="21"/>
  <c r="AF117" i="21"/>
  <c r="AA117" i="21"/>
  <c r="AF121" i="21"/>
  <c r="AA121" i="21"/>
  <c r="AF125" i="21"/>
  <c r="AA125" i="21"/>
  <c r="AF129" i="21"/>
  <c r="AA129" i="21"/>
  <c r="J135" i="21"/>
  <c r="J139" i="21"/>
  <c r="AD139" i="21"/>
  <c r="J138" i="21"/>
  <c r="T138" i="21"/>
  <c r="AF66" i="21"/>
  <c r="AA66" i="21"/>
  <c r="AF68" i="21"/>
  <c r="AA68" i="21"/>
  <c r="AF70" i="21"/>
  <c r="AA70" i="21"/>
  <c r="AF72" i="21"/>
  <c r="AA72" i="21"/>
  <c r="AF78" i="21"/>
  <c r="AA78" i="21"/>
  <c r="AF82" i="21"/>
  <c r="AA82" i="21"/>
  <c r="AF84" i="21"/>
  <c r="AA84" i="21"/>
  <c r="AF88" i="21"/>
  <c r="AA88" i="21"/>
  <c r="AF92" i="21"/>
  <c r="AA92" i="21"/>
  <c r="AF94" i="21"/>
  <c r="AA94" i="21"/>
  <c r="AF98" i="21"/>
  <c r="AA98" i="21"/>
  <c r="AF101" i="21"/>
  <c r="AA101" i="21"/>
  <c r="AF109" i="21"/>
  <c r="AA109" i="21"/>
  <c r="K140" i="21"/>
  <c r="K135" i="21"/>
  <c r="U140" i="21"/>
  <c r="AE135" i="21"/>
  <c r="AE140" i="21"/>
  <c r="K139" i="21"/>
  <c r="U139" i="21"/>
  <c r="AE139" i="21"/>
  <c r="AE137" i="21"/>
  <c r="K138" i="21"/>
  <c r="U138" i="21"/>
  <c r="AO138" i="21"/>
  <c r="AE138" i="21"/>
  <c r="AF99" i="21"/>
  <c r="AA99" i="21"/>
  <c r="AG106" i="21"/>
  <c r="AF107" i="21"/>
  <c r="AA107" i="21"/>
  <c r="T135" i="21"/>
  <c r="T140" i="21"/>
  <c r="AD140" i="21"/>
  <c r="AD135" i="21"/>
  <c r="T139" i="21"/>
  <c r="AD138" i="21"/>
  <c r="AF74" i="21"/>
  <c r="AA74" i="21"/>
  <c r="AF76" i="21"/>
  <c r="AA76" i="21"/>
  <c r="AF80" i="21"/>
  <c r="AA80" i="21"/>
  <c r="AF86" i="21"/>
  <c r="AA86" i="21"/>
  <c r="AF90" i="21"/>
  <c r="AA90" i="21"/>
  <c r="AF96" i="21"/>
  <c r="AA96" i="21"/>
  <c r="M140" i="21"/>
  <c r="M135" i="21"/>
  <c r="AA5" i="21"/>
  <c r="AF5" i="21"/>
  <c r="AA6" i="21"/>
  <c r="AA7" i="21"/>
  <c r="AF7" i="21"/>
  <c r="AA8" i="21"/>
  <c r="AA9" i="21"/>
  <c r="AA10" i="21"/>
  <c r="AF10" i="21"/>
  <c r="AA11" i="21"/>
  <c r="AA12" i="21"/>
  <c r="AA13" i="21"/>
  <c r="AA14" i="21"/>
  <c r="AA15" i="21"/>
  <c r="AA16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F30" i="21"/>
  <c r="AA31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AA44" i="21"/>
  <c r="AA45" i="21"/>
  <c r="AA46" i="21"/>
  <c r="AA47" i="21"/>
  <c r="AA48" i="21"/>
  <c r="AA49" i="21"/>
  <c r="AA50" i="21"/>
  <c r="AA51" i="21"/>
  <c r="AA52" i="21"/>
  <c r="AA53" i="21"/>
  <c r="AA54" i="21"/>
  <c r="AA55" i="21"/>
  <c r="AA56" i="21"/>
  <c r="AA57" i="21"/>
  <c r="AA58" i="21"/>
  <c r="AA59" i="21"/>
  <c r="AA60" i="21"/>
  <c r="AA61" i="21"/>
  <c r="AA62" i="21"/>
  <c r="AA63" i="21"/>
  <c r="AA64" i="21"/>
  <c r="AA65" i="21"/>
  <c r="AF67" i="21"/>
  <c r="AA67" i="21"/>
  <c r="AF69" i="21"/>
  <c r="AA69" i="21"/>
  <c r="AF71" i="21"/>
  <c r="AA71" i="21"/>
  <c r="AF73" i="21"/>
  <c r="AA73" i="21"/>
  <c r="AF75" i="21"/>
  <c r="AA75" i="21"/>
  <c r="AF77" i="21"/>
  <c r="AA77" i="21"/>
  <c r="AF79" i="21"/>
  <c r="AA79" i="21"/>
  <c r="AF81" i="21"/>
  <c r="AA81" i="21"/>
  <c r="AF83" i="21"/>
  <c r="AA83" i="21"/>
  <c r="AF85" i="21"/>
  <c r="AA85" i="21"/>
  <c r="AF87" i="21"/>
  <c r="AA87" i="21"/>
  <c r="AF89" i="21"/>
  <c r="AA89" i="21"/>
  <c r="AF91" i="21"/>
  <c r="AA91" i="21"/>
  <c r="AF93" i="21"/>
  <c r="AA93" i="21"/>
  <c r="AF95" i="21"/>
  <c r="AA95" i="21"/>
  <c r="AF97" i="21"/>
  <c r="AA97" i="21"/>
  <c r="AG104" i="21"/>
  <c r="AF105" i="21"/>
  <c r="AA105" i="21"/>
  <c r="AF113" i="21"/>
  <c r="AA113" i="21"/>
  <c r="AF116" i="21"/>
  <c r="AA116" i="21"/>
  <c r="AF120" i="21"/>
  <c r="AA120" i="21"/>
  <c r="AF124" i="21"/>
  <c r="AA124" i="21"/>
  <c r="AF128" i="21"/>
  <c r="AA128" i="21"/>
  <c r="AF132" i="21"/>
  <c r="AA132" i="21"/>
  <c r="AO135" i="21"/>
  <c r="AF100" i="21"/>
  <c r="AA100" i="21"/>
  <c r="AF102" i="21"/>
  <c r="AA102" i="21"/>
  <c r="AF104" i="21"/>
  <c r="AA104" i="21"/>
  <c r="AF106" i="21"/>
  <c r="AA106" i="21"/>
  <c r="AF108" i="21"/>
  <c r="AA108" i="21"/>
  <c r="AF110" i="21"/>
  <c r="AA110" i="21"/>
  <c r="AF112" i="21"/>
  <c r="AA112" i="21"/>
  <c r="AF114" i="21"/>
  <c r="AA114" i="21"/>
  <c r="AF118" i="21"/>
  <c r="AA118" i="21"/>
  <c r="AF122" i="21"/>
  <c r="AA122" i="21"/>
  <c r="AF126" i="21"/>
  <c r="AA126" i="21"/>
  <c r="AF130" i="21"/>
  <c r="AA130" i="21"/>
  <c r="AO139" i="21"/>
  <c r="AO140" i="21"/>
  <c r="AF115" i="21"/>
  <c r="AA115" i="21"/>
  <c r="AF119" i="21"/>
  <c r="AA119" i="21"/>
  <c r="AF123" i="21"/>
  <c r="AA123" i="21"/>
  <c r="AF127" i="21"/>
  <c r="AA127" i="21"/>
  <c r="AF131" i="21"/>
  <c r="AA131" i="21"/>
  <c r="AO137" i="21"/>
  <c r="T11" i="22"/>
  <c r="AL11" i="22"/>
  <c r="H13" i="22"/>
  <c r="M17" i="22"/>
  <c r="M26" i="22"/>
  <c r="AI22" i="22"/>
  <c r="Q30" i="22"/>
  <c r="H20" i="22"/>
  <c r="AI20" i="22"/>
  <c r="AI58" i="22"/>
  <c r="Q58" i="22"/>
  <c r="X151" i="22"/>
  <c r="X139" i="22"/>
  <c r="AI13" i="22"/>
  <c r="H24" i="22"/>
  <c r="AI24" i="22"/>
  <c r="H25" i="22"/>
  <c r="AH27" i="22"/>
  <c r="AK30" i="22"/>
  <c r="AJ32" i="22"/>
  <c r="AK32" i="22"/>
  <c r="Q32" i="22"/>
  <c r="F142" i="22"/>
  <c r="F134" i="22"/>
  <c r="Y134" i="22"/>
  <c r="Y142" i="22"/>
  <c r="Y154" i="22"/>
  <c r="Y133" i="22"/>
  <c r="AE5" i="22"/>
  <c r="AH6" i="22"/>
  <c r="L7" i="22"/>
  <c r="L7" i="23" s="1"/>
  <c r="U7" i="23" s="1"/>
  <c r="Y141" i="22"/>
  <c r="Y147" i="22"/>
  <c r="Y153" i="22"/>
  <c r="AH9" i="22"/>
  <c r="L10" i="22"/>
  <c r="L10" i="23" s="1"/>
  <c r="U10" i="23" s="1"/>
  <c r="Q10" i="22"/>
  <c r="Y139" i="22"/>
  <c r="Y151" i="22"/>
  <c r="AH11" i="22"/>
  <c r="L12" i="22"/>
  <c r="L12" i="23" s="1"/>
  <c r="U12" i="23" s="1"/>
  <c r="T12" i="22"/>
  <c r="L14" i="22"/>
  <c r="L14" i="23" s="1"/>
  <c r="U14" i="23" s="1"/>
  <c r="L17" i="22"/>
  <c r="L17" i="23" s="1"/>
  <c r="U17" i="23" s="1"/>
  <c r="AK17" i="22"/>
  <c r="AH19" i="22"/>
  <c r="G20" i="22"/>
  <c r="T21" i="22"/>
  <c r="P22" i="22"/>
  <c r="G24" i="22"/>
  <c r="AJ25" i="22"/>
  <c r="L26" i="22"/>
  <c r="L26" i="23" s="1"/>
  <c r="U26" i="23" s="1"/>
  <c r="Q26" i="22"/>
  <c r="H27" i="22"/>
  <c r="P28" i="22"/>
  <c r="AH28" i="22"/>
  <c r="P32" i="22"/>
  <c r="H36" i="22"/>
  <c r="H37" i="22"/>
  <c r="G37" i="22"/>
  <c r="L38" i="22"/>
  <c r="L38" i="23" s="1"/>
  <c r="U38" i="23" s="1"/>
  <c r="W140" i="23" s="1"/>
  <c r="H40" i="22"/>
  <c r="G40" i="22"/>
  <c r="AJ41" i="22"/>
  <c r="S41" i="22"/>
  <c r="AI41" i="22"/>
  <c r="H44" i="22"/>
  <c r="H45" i="22"/>
  <c r="G45" i="22"/>
  <c r="M49" i="22"/>
  <c r="L51" i="22"/>
  <c r="L51" i="23" s="1"/>
  <c r="U51" i="23" s="1"/>
  <c r="M53" i="22"/>
  <c r="L53" i="22"/>
  <c r="L53" i="23" s="1"/>
  <c r="U53" i="23" s="1"/>
  <c r="H54" i="22"/>
  <c r="H59" i="22"/>
  <c r="AI60" i="22"/>
  <c r="H65" i="22"/>
  <c r="AJ72" i="22"/>
  <c r="AL72" i="22"/>
  <c r="T72" i="22"/>
  <c r="S72" i="22"/>
  <c r="M78" i="22"/>
  <c r="L78" i="22"/>
  <c r="L78" i="23" s="1"/>
  <c r="U78" i="23" s="1"/>
  <c r="G84" i="22"/>
  <c r="AH84" i="22"/>
  <c r="P84" i="22"/>
  <c r="H85" i="22"/>
  <c r="H87" i="22"/>
  <c r="K142" i="22"/>
  <c r="K134" i="22"/>
  <c r="K146" i="22"/>
  <c r="X153" i="22"/>
  <c r="X141" i="22"/>
  <c r="X147" i="22"/>
  <c r="AI16" i="22"/>
  <c r="AI18" i="22"/>
  <c r="AJ22" i="22"/>
  <c r="AK22" i="22"/>
  <c r="AK26" i="22"/>
  <c r="AL35" i="22"/>
  <c r="M42" i="22"/>
  <c r="AJ46" i="22"/>
  <c r="AL46" i="22"/>
  <c r="T46" i="22"/>
  <c r="S46" i="22"/>
  <c r="AI46" i="22"/>
  <c r="AL47" i="22"/>
  <c r="H48" i="22"/>
  <c r="H49" i="22"/>
  <c r="G49" i="22"/>
  <c r="H53" i="22"/>
  <c r="M66" i="22"/>
  <c r="L66" i="22"/>
  <c r="L66" i="23" s="1"/>
  <c r="U66" i="23" s="1"/>
  <c r="AJ70" i="22"/>
  <c r="AK70" i="22"/>
  <c r="Q70" i="22"/>
  <c r="P70" i="22"/>
  <c r="G5" i="22"/>
  <c r="M5" i="22"/>
  <c r="V142" i="22"/>
  <c r="V133" i="22"/>
  <c r="V134" i="22"/>
  <c r="Z142" i="22"/>
  <c r="Z154" i="22"/>
  <c r="Z133" i="22"/>
  <c r="Z134" i="22"/>
  <c r="Z144" i="22"/>
  <c r="AF5" i="22"/>
  <c r="AL5" i="22"/>
  <c r="S6" i="22"/>
  <c r="G7" i="22"/>
  <c r="M7" i="22"/>
  <c r="Z153" i="22"/>
  <c r="Z141" i="22"/>
  <c r="Z147" i="22"/>
  <c r="AL7" i="22"/>
  <c r="S9" i="22"/>
  <c r="G10" i="22"/>
  <c r="M10" i="22"/>
  <c r="V139" i="22"/>
  <c r="Z139" i="22"/>
  <c r="Z151" i="22"/>
  <c r="G19" i="22"/>
  <c r="L22" i="22"/>
  <c r="L22" i="23" s="1"/>
  <c r="U22" i="23" s="1"/>
  <c r="AH22" i="22"/>
  <c r="M23" i="22"/>
  <c r="P25" i="22"/>
  <c r="H26" i="22"/>
  <c r="AJ27" i="22"/>
  <c r="F140" i="22"/>
  <c r="G30" i="22"/>
  <c r="P30" i="22"/>
  <c r="X152" i="22"/>
  <c r="X140" i="22"/>
  <c r="AI31" i="22"/>
  <c r="H35" i="22"/>
  <c r="G35" i="22"/>
  <c r="AI35" i="22"/>
  <c r="M36" i="22"/>
  <c r="T36" i="22"/>
  <c r="AH37" i="22"/>
  <c r="AH38" i="22"/>
  <c r="AL38" i="22"/>
  <c r="H39" i="22"/>
  <c r="AI39" i="22"/>
  <c r="M40" i="22"/>
  <c r="Q40" i="22"/>
  <c r="M44" i="22"/>
  <c r="M45" i="22"/>
  <c r="H47" i="22"/>
  <c r="G47" i="22"/>
  <c r="AI47" i="22"/>
  <c r="AJ48" i="22"/>
  <c r="P48" i="22"/>
  <c r="AI48" i="22"/>
  <c r="L49" i="22"/>
  <c r="L49" i="23" s="1"/>
  <c r="U49" i="23" s="1"/>
  <c r="AH50" i="22"/>
  <c r="AI52" i="22"/>
  <c r="M54" i="22"/>
  <c r="AL55" i="22"/>
  <c r="H56" i="22"/>
  <c r="AI56" i="22"/>
  <c r="H57" i="22"/>
  <c r="AI57" i="22"/>
  <c r="AK60" i="22"/>
  <c r="AJ61" i="22"/>
  <c r="Q61" i="22"/>
  <c r="P61" i="22"/>
  <c r="AI63" i="22"/>
  <c r="H64" i="22"/>
  <c r="M65" i="22"/>
  <c r="AJ74" i="22"/>
  <c r="AK74" i="22"/>
  <c r="Q74" i="22"/>
  <c r="P74" i="22"/>
  <c r="AI83" i="22"/>
  <c r="X154" i="22"/>
  <c r="X133" i="22"/>
  <c r="X134" i="22"/>
  <c r="X142" i="22"/>
  <c r="M55" i="22"/>
  <c r="L55" i="22"/>
  <c r="L55" i="23" s="1"/>
  <c r="U55" i="23" s="1"/>
  <c r="H58" i="22"/>
  <c r="G58" i="22"/>
  <c r="P58" i="22"/>
  <c r="AH58" i="22"/>
  <c r="H61" i="22"/>
  <c r="M62" i="22"/>
  <c r="L62" i="22"/>
  <c r="L62" i="23" s="1"/>
  <c r="U62" i="23" s="1"/>
  <c r="R134" i="22"/>
  <c r="R142" i="22"/>
  <c r="W154" i="22"/>
  <c r="W133" i="22"/>
  <c r="W134" i="22"/>
  <c r="W142" i="22"/>
  <c r="AC5" i="22"/>
  <c r="AH5" i="22"/>
  <c r="T6" i="22"/>
  <c r="R146" i="22"/>
  <c r="W153" i="22"/>
  <c r="W141" i="22"/>
  <c r="W147" i="22"/>
  <c r="AH7" i="22"/>
  <c r="T9" i="22"/>
  <c r="O134" i="22"/>
  <c r="O139" i="22"/>
  <c r="W139" i="22"/>
  <c r="W145" i="22"/>
  <c r="W151" i="22"/>
  <c r="G22" i="22"/>
  <c r="AJ23" i="22"/>
  <c r="AL23" i="22"/>
  <c r="T23" i="22"/>
  <c r="L25" i="22"/>
  <c r="L25" i="23" s="1"/>
  <c r="U25" i="23" s="1"/>
  <c r="AI27" i="22"/>
  <c r="AK28" i="22"/>
  <c r="AI29" i="22"/>
  <c r="K140" i="22"/>
  <c r="M30" i="22"/>
  <c r="Y152" i="22"/>
  <c r="Y140" i="22"/>
  <c r="AH30" i="22"/>
  <c r="M32" i="22"/>
  <c r="L32" i="22"/>
  <c r="L32" i="23" s="1"/>
  <c r="U32" i="23" s="1"/>
  <c r="H32" i="22"/>
  <c r="AI33" i="22"/>
  <c r="AI34" i="22"/>
  <c r="M35" i="22"/>
  <c r="AJ36" i="22"/>
  <c r="S36" i="22"/>
  <c r="H38" i="22"/>
  <c r="G38" i="22"/>
  <c r="AK38" i="22"/>
  <c r="M39" i="22"/>
  <c r="AK40" i="22"/>
  <c r="H42" i="22"/>
  <c r="G42" i="22"/>
  <c r="AJ44" i="22"/>
  <c r="P44" i="22"/>
  <c r="AI44" i="22"/>
  <c r="M46" i="22"/>
  <c r="M47" i="22"/>
  <c r="H51" i="22"/>
  <c r="G51" i="22"/>
  <c r="AL51" i="22"/>
  <c r="AI54" i="22"/>
  <c r="H55" i="22"/>
  <c r="M56" i="22"/>
  <c r="AK58" i="22"/>
  <c r="AJ59" i="22"/>
  <c r="AK59" i="22"/>
  <c r="Q59" i="22"/>
  <c r="P59" i="22"/>
  <c r="AI59" i="22"/>
  <c r="H60" i="22"/>
  <c r="G60" i="22"/>
  <c r="Q60" i="22"/>
  <c r="P60" i="22"/>
  <c r="AH60" i="22"/>
  <c r="H62" i="22"/>
  <c r="M64" i="22"/>
  <c r="L64" i="22"/>
  <c r="L64" i="23" s="1"/>
  <c r="U64" i="23" s="1"/>
  <c r="AI65" i="22"/>
  <c r="H66" i="22"/>
  <c r="AI69" i="22"/>
  <c r="AJ76" i="22"/>
  <c r="T76" i="22"/>
  <c r="S76" i="22"/>
  <c r="AH78" i="22"/>
  <c r="AK78" i="22"/>
  <c r="P78" i="22"/>
  <c r="AH79" i="22"/>
  <c r="AI51" i="22"/>
  <c r="AI55" i="22"/>
  <c r="AI64" i="22"/>
  <c r="R145" i="22"/>
  <c r="AK66" i="22"/>
  <c r="AI67" i="22"/>
  <c r="M68" i="22"/>
  <c r="L68" i="22"/>
  <c r="L68" i="23" s="1"/>
  <c r="U68" i="23" s="1"/>
  <c r="H69" i="22"/>
  <c r="AJ77" i="22"/>
  <c r="AK77" i="22"/>
  <c r="Q77" i="22"/>
  <c r="P77" i="22"/>
  <c r="H79" i="22"/>
  <c r="H80" i="22"/>
  <c r="G80" i="22"/>
  <c r="AJ81" i="22"/>
  <c r="AK81" i="22"/>
  <c r="Q81" i="22"/>
  <c r="P81" i="22"/>
  <c r="H82" i="22"/>
  <c r="G82" i="22"/>
  <c r="P82" i="22"/>
  <c r="AH82" i="22"/>
  <c r="H86" i="22"/>
  <c r="G86" i="22"/>
  <c r="H91" i="22"/>
  <c r="H124" i="22"/>
  <c r="G124" i="22"/>
  <c r="AH124" i="22"/>
  <c r="AK124" i="22"/>
  <c r="V140" i="22"/>
  <c r="Z152" i="22"/>
  <c r="Z140" i="22"/>
  <c r="AI30" i="22"/>
  <c r="G53" i="22"/>
  <c r="P54" i="22"/>
  <c r="G55" i="22"/>
  <c r="P56" i="22"/>
  <c r="G57" i="22"/>
  <c r="L59" i="22"/>
  <c r="L59" i="23" s="1"/>
  <c r="U59" i="23" s="1"/>
  <c r="L61" i="22"/>
  <c r="L61" i="23" s="1"/>
  <c r="U61" i="23" s="1"/>
  <c r="G62" i="22"/>
  <c r="S63" i="22"/>
  <c r="G64" i="22"/>
  <c r="S65" i="22"/>
  <c r="G66" i="22"/>
  <c r="AJ68" i="22"/>
  <c r="AK68" i="22"/>
  <c r="Q68" i="22"/>
  <c r="G69" i="22"/>
  <c r="S69" i="22"/>
  <c r="M69" i="22"/>
  <c r="AI71" i="22"/>
  <c r="AI73" i="22"/>
  <c r="AI75" i="22"/>
  <c r="M79" i="22"/>
  <c r="M80" i="22"/>
  <c r="M82" i="22"/>
  <c r="H83" i="22"/>
  <c r="H88" i="22"/>
  <c r="G88" i="22"/>
  <c r="H92" i="22"/>
  <c r="G92" i="22"/>
  <c r="AI95" i="22"/>
  <c r="Q95" i="22"/>
  <c r="AH98" i="22"/>
  <c r="M110" i="22"/>
  <c r="L110" i="22"/>
  <c r="L110" i="23" s="1"/>
  <c r="U110" i="23" s="1"/>
  <c r="AJ118" i="22"/>
  <c r="AK118" i="22"/>
  <c r="Q118" i="22"/>
  <c r="P118" i="22"/>
  <c r="O140" i="22"/>
  <c r="W152" i="22"/>
  <c r="W140" i="22"/>
  <c r="O142" i="22"/>
  <c r="Q56" i="22"/>
  <c r="T63" i="22"/>
  <c r="T65" i="22"/>
  <c r="AJ65" i="22"/>
  <c r="AL65" i="22"/>
  <c r="G68" i="22"/>
  <c r="AH69" i="22"/>
  <c r="M70" i="22"/>
  <c r="L70" i="22"/>
  <c r="L70" i="23" s="1"/>
  <c r="U70" i="23" s="1"/>
  <c r="H71" i="22"/>
  <c r="M72" i="22"/>
  <c r="L72" i="22"/>
  <c r="L72" i="23" s="1"/>
  <c r="U72" i="23" s="1"/>
  <c r="H73" i="22"/>
  <c r="M74" i="22"/>
  <c r="L74" i="22"/>
  <c r="L74" i="23" s="1"/>
  <c r="U74" i="23" s="1"/>
  <c r="H75" i="22"/>
  <c r="M76" i="22"/>
  <c r="L76" i="22"/>
  <c r="L76" i="23" s="1"/>
  <c r="U76" i="23" s="1"/>
  <c r="H76" i="22"/>
  <c r="H78" i="22"/>
  <c r="G78" i="22"/>
  <c r="AJ79" i="22"/>
  <c r="T79" i="22"/>
  <c r="S79" i="22"/>
  <c r="L80" i="22"/>
  <c r="L80" i="23" s="1"/>
  <c r="U80" i="23" s="1"/>
  <c r="H81" i="22"/>
  <c r="M83" i="22"/>
  <c r="AK84" i="22"/>
  <c r="H94" i="22"/>
  <c r="AH83" i="22"/>
  <c r="AJ85" i="22"/>
  <c r="M86" i="22"/>
  <c r="AI86" i="22"/>
  <c r="M88" i="22"/>
  <c r="AI88" i="22"/>
  <c r="M91" i="22"/>
  <c r="AK95" i="22"/>
  <c r="R139" i="22"/>
  <c r="AJ96" i="22"/>
  <c r="AL96" i="22"/>
  <c r="T96" i="22"/>
  <c r="S96" i="22"/>
  <c r="H97" i="22"/>
  <c r="G97" i="22"/>
  <c r="AL99" i="22"/>
  <c r="AI99" i="22"/>
  <c r="AJ100" i="22"/>
  <c r="AK100" i="22"/>
  <c r="P100" i="22"/>
  <c r="M106" i="22"/>
  <c r="L106" i="22"/>
  <c r="L106" i="23" s="1"/>
  <c r="U106" i="23" s="1"/>
  <c r="H84" i="22"/>
  <c r="S85" i="22"/>
  <c r="AH86" i="22"/>
  <c r="M87" i="22"/>
  <c r="L87" i="22"/>
  <c r="L87" i="23" s="1"/>
  <c r="U87" i="23" s="1"/>
  <c r="AH88" i="22"/>
  <c r="M89" i="22"/>
  <c r="L89" i="22"/>
  <c r="L89" i="23" s="1"/>
  <c r="U89" i="23" s="1"/>
  <c r="H89" i="22"/>
  <c r="H90" i="22"/>
  <c r="AJ91" i="22"/>
  <c r="AK91" i="22"/>
  <c r="P91" i="22"/>
  <c r="Q91" i="22"/>
  <c r="H93" i="22"/>
  <c r="AJ94" i="22"/>
  <c r="AL94" i="22"/>
  <c r="T94" i="22"/>
  <c r="S94" i="22"/>
  <c r="AI94" i="22"/>
  <c r="H95" i="22"/>
  <c r="G95" i="22"/>
  <c r="P95" i="22"/>
  <c r="AH95" i="22"/>
  <c r="M98" i="22"/>
  <c r="H101" i="22"/>
  <c r="AL101" i="22"/>
  <c r="AH111" i="22"/>
  <c r="T85" i="22"/>
  <c r="AJ89" i="22"/>
  <c r="AK89" i="22"/>
  <c r="Q89" i="22"/>
  <c r="H96" i="22"/>
  <c r="H99" i="22"/>
  <c r="G99" i="22"/>
  <c r="M104" i="22"/>
  <c r="L104" i="22"/>
  <c r="L104" i="23" s="1"/>
  <c r="U104" i="23" s="1"/>
  <c r="H113" i="22"/>
  <c r="G113" i="22"/>
  <c r="H119" i="22"/>
  <c r="G119" i="22"/>
  <c r="AH119" i="22"/>
  <c r="AI119" i="22"/>
  <c r="T93" i="22"/>
  <c r="T97" i="22"/>
  <c r="H98" i="22"/>
  <c r="AI100" i="22"/>
  <c r="H105" i="22"/>
  <c r="H111" i="22"/>
  <c r="AI115" i="22"/>
  <c r="M116" i="22"/>
  <c r="H117" i="22"/>
  <c r="G117" i="22"/>
  <c r="L94" i="22"/>
  <c r="L94" i="23" s="1"/>
  <c r="U94" i="23" s="1"/>
  <c r="L96" i="22"/>
  <c r="L96" i="23" s="1"/>
  <c r="U96" i="23" s="1"/>
  <c r="L98" i="22"/>
  <c r="L98" i="23" s="1"/>
  <c r="U98" i="23" s="1"/>
  <c r="S99" i="22"/>
  <c r="L100" i="22"/>
  <c r="L100" i="23" s="1"/>
  <c r="U100" i="23" s="1"/>
  <c r="S101" i="22"/>
  <c r="L102" i="22"/>
  <c r="L102" i="23" s="1"/>
  <c r="U102" i="23" s="1"/>
  <c r="M103" i="22"/>
  <c r="H103" i="22"/>
  <c r="H104" i="22"/>
  <c r="AI105" i="22"/>
  <c r="H106" i="22"/>
  <c r="H107" i="22"/>
  <c r="AI109" i="22"/>
  <c r="H110" i="22"/>
  <c r="M111" i="22"/>
  <c r="H112" i="22"/>
  <c r="AL115" i="22"/>
  <c r="H123" i="22"/>
  <c r="AI123" i="22"/>
  <c r="M125" i="22"/>
  <c r="AI125" i="22"/>
  <c r="H126" i="22"/>
  <c r="G126" i="22"/>
  <c r="T99" i="22"/>
  <c r="AI107" i="22"/>
  <c r="M108" i="22"/>
  <c r="L108" i="22"/>
  <c r="L108" i="23" s="1"/>
  <c r="U108" i="23" s="1"/>
  <c r="G114" i="22"/>
  <c r="AJ114" i="22"/>
  <c r="AK114" i="22"/>
  <c r="Q114" i="22"/>
  <c r="P114" i="22"/>
  <c r="AI114" i="22"/>
  <c r="H115" i="22"/>
  <c r="G115" i="22"/>
  <c r="AK117" i="22"/>
  <c r="AL119" i="22"/>
  <c r="AJ120" i="22"/>
  <c r="AK120" i="22"/>
  <c r="Q120" i="22"/>
  <c r="P120" i="22"/>
  <c r="AI120" i="22"/>
  <c r="G121" i="22"/>
  <c r="M123" i="22"/>
  <c r="P124" i="22"/>
  <c r="G128" i="22"/>
  <c r="Q102" i="22"/>
  <c r="AI102" i="22"/>
  <c r="AH103" i="22"/>
  <c r="AH105" i="22"/>
  <c r="T106" i="22"/>
  <c r="AI106" i="22"/>
  <c r="AK108" i="22"/>
  <c r="AK110" i="22"/>
  <c r="AH112" i="22"/>
  <c r="AI113" i="22"/>
  <c r="AI122" i="22"/>
  <c r="H125" i="22"/>
  <c r="H128" i="22"/>
  <c r="Q130" i="22"/>
  <c r="AI130" i="22"/>
  <c r="L116" i="22"/>
  <c r="L116" i="23" s="1"/>
  <c r="U116" i="23" s="1"/>
  <c r="L118" i="22"/>
  <c r="L118" i="23" s="1"/>
  <c r="U118" i="23" s="1"/>
  <c r="L120" i="22"/>
  <c r="L120" i="23" s="1"/>
  <c r="U120" i="23" s="1"/>
  <c r="L123" i="22"/>
  <c r="L123" i="23" s="1"/>
  <c r="U123" i="23" s="1"/>
  <c r="L125" i="22"/>
  <c r="L125" i="23" s="1"/>
  <c r="U125" i="23" s="1"/>
  <c r="M127" i="22"/>
  <c r="T103" i="22"/>
  <c r="Q109" i="22"/>
  <c r="AI126" i="22"/>
  <c r="AH126" i="22"/>
  <c r="AJ127" i="22"/>
  <c r="AK127" i="22"/>
  <c r="Q127" i="22"/>
  <c r="AH128" i="22"/>
  <c r="AL131" i="22"/>
  <c r="AI131" i="22"/>
  <c r="AI132" i="22"/>
  <c r="L129" i="22"/>
  <c r="L129" i="23" s="1"/>
  <c r="U129" i="23" s="1"/>
  <c r="Q129" i="22"/>
  <c r="S130" i="22"/>
  <c r="G131" i="22"/>
  <c r="AH132" i="22"/>
  <c r="AI129" i="22"/>
  <c r="T130" i="22"/>
  <c r="AH131" i="22"/>
  <c r="S131" i="22"/>
  <c r="R138" i="23"/>
  <c r="R141" i="24"/>
  <c r="J141" i="24"/>
  <c r="O139" i="24"/>
  <c r="O145" i="24"/>
  <c r="N141" i="24"/>
  <c r="F141" i="24"/>
  <c r="G139" i="24"/>
  <c r="G145" i="24"/>
  <c r="K139" i="24"/>
  <c r="K145" i="24"/>
  <c r="S139" i="24"/>
  <c r="S145" i="24"/>
  <c r="H139" i="24"/>
  <c r="H145" i="24"/>
  <c r="L139" i="24"/>
  <c r="L145" i="24"/>
  <c r="P139" i="24"/>
  <c r="P145" i="24"/>
  <c r="T139" i="24"/>
  <c r="T145" i="24"/>
  <c r="O141" i="24"/>
  <c r="E139" i="24"/>
  <c r="E145" i="24"/>
  <c r="I139" i="24"/>
  <c r="I145" i="24"/>
  <c r="M139" i="24"/>
  <c r="M145" i="24"/>
  <c r="Q139" i="24"/>
  <c r="Q145" i="24"/>
  <c r="U139" i="24"/>
  <c r="U145" i="24"/>
  <c r="I31" i="25"/>
  <c r="I32" i="25"/>
  <c r="I33" i="25"/>
  <c r="I34" i="25"/>
  <c r="I35" i="25"/>
  <c r="M22" i="25"/>
  <c r="M24" i="25"/>
  <c r="M26" i="25"/>
  <c r="M28" i="25"/>
  <c r="M29" i="25"/>
  <c r="M5" i="25"/>
  <c r="I30" i="25"/>
  <c r="L31" i="25"/>
  <c r="K32" i="25"/>
  <c r="K33" i="25"/>
  <c r="K34" i="25"/>
  <c r="K35" i="25"/>
  <c r="K30" i="25"/>
  <c r="M21" i="25"/>
  <c r="M23" i="25"/>
  <c r="M25" i="25"/>
  <c r="M27" i="25"/>
  <c r="L30" i="25"/>
  <c r="H5" i="25"/>
  <c r="L32" i="25"/>
  <c r="L33" i="25"/>
  <c r="L34" i="25"/>
  <c r="Z140" i="19"/>
  <c r="W137" i="19"/>
  <c r="W138" i="19"/>
  <c r="X139" i="19"/>
  <c r="V140" i="19"/>
  <c r="W140" i="19"/>
  <c r="G137" i="19"/>
  <c r="W7" i="19"/>
  <c r="W139" i="19"/>
  <c r="G135" i="19"/>
  <c r="M136" i="18"/>
  <c r="Q10" i="18"/>
  <c r="P49" i="18"/>
  <c r="AB49" i="18"/>
  <c r="Y49" i="18"/>
  <c r="F138" i="18"/>
  <c r="B10" i="17" s="1"/>
  <c r="B28" i="17" s="1"/>
  <c r="P7" i="18"/>
  <c r="Y7" i="18"/>
  <c r="AG138" i="18"/>
  <c r="AG145" i="18"/>
  <c r="AK138" i="18"/>
  <c r="AK145" i="18"/>
  <c r="AQ7" i="18"/>
  <c r="AP8" i="18"/>
  <c r="AS8" i="18"/>
  <c r="P9" i="18"/>
  <c r="S9" i="18" s="1"/>
  <c r="AC9" i="18"/>
  <c r="Y11" i="18"/>
  <c r="Z11" i="18" s="1"/>
  <c r="AR14" i="18"/>
  <c r="R16" i="18"/>
  <c r="AP16" i="18"/>
  <c r="AS16" i="18"/>
  <c r="P17" i="18"/>
  <c r="AC17" i="18"/>
  <c r="P18" i="18"/>
  <c r="Y19" i="18"/>
  <c r="Z19" i="18" s="1"/>
  <c r="AR22" i="18"/>
  <c r="R24" i="18"/>
  <c r="AD24" i="18"/>
  <c r="AS24" i="18"/>
  <c r="AQ25" i="18"/>
  <c r="AS25" i="18"/>
  <c r="S26" i="18"/>
  <c r="W26" i="23" s="1"/>
  <c r="Q27" i="18"/>
  <c r="S27" i="18" s="1"/>
  <c r="W27" i="23" s="1"/>
  <c r="AS27" i="18"/>
  <c r="AP28" i="18"/>
  <c r="P29" i="18"/>
  <c r="Z29" i="18" s="1"/>
  <c r="AC29" i="18"/>
  <c r="AR34" i="18"/>
  <c r="R36" i="18"/>
  <c r="AD36" i="18"/>
  <c r="AS36" i="18"/>
  <c r="AJ139" i="18"/>
  <c r="AJ134" i="18"/>
  <c r="AJ146" i="18"/>
  <c r="I136" i="18"/>
  <c r="AA10" i="18"/>
  <c r="AD16" i="18"/>
  <c r="S17" i="18"/>
  <c r="W17" i="23" s="1"/>
  <c r="I137" i="18"/>
  <c r="AA30" i="18"/>
  <c r="P51" i="18"/>
  <c r="AC51" i="18"/>
  <c r="G139" i="18"/>
  <c r="C11" i="17" s="1"/>
  <c r="G134" i="18"/>
  <c r="K139" i="18"/>
  <c r="K134" i="18"/>
  <c r="X192" i="18"/>
  <c r="H139" i="18"/>
  <c r="D11" i="17" s="1"/>
  <c r="D29" i="17" s="1"/>
  <c r="H134" i="18"/>
  <c r="R5" i="18"/>
  <c r="R134" i="18" s="1"/>
  <c r="L134" i="18"/>
  <c r="L139" i="18"/>
  <c r="AC5" i="18"/>
  <c r="AD5" i="18"/>
  <c r="Q5" i="18"/>
  <c r="AB5" i="18"/>
  <c r="AG143" i="18"/>
  <c r="AG136" i="18"/>
  <c r="AQ10" i="18"/>
  <c r="AS10" i="18"/>
  <c r="AD12" i="18"/>
  <c r="AQ12" i="18"/>
  <c r="AB17" i="18"/>
  <c r="AD20" i="18"/>
  <c r="Z24" i="18"/>
  <c r="P25" i="18"/>
  <c r="S25" i="18" s="1"/>
  <c r="AC25" i="18"/>
  <c r="Y27" i="18"/>
  <c r="Z27" i="18" s="1"/>
  <c r="AG144" i="18"/>
  <c r="AG137" i="18"/>
  <c r="AQ30" i="18"/>
  <c r="AS30" i="18"/>
  <c r="AK144" i="18"/>
  <c r="AK137" i="18"/>
  <c r="AD32" i="18"/>
  <c r="Z36" i="18"/>
  <c r="P37" i="18"/>
  <c r="Z37" i="18" s="1"/>
  <c r="AC37" i="18"/>
  <c r="P43" i="18"/>
  <c r="S43" i="18" s="1"/>
  <c r="AC43" i="18"/>
  <c r="P57" i="18"/>
  <c r="Y57" i="18"/>
  <c r="AF139" i="18"/>
  <c r="AF134" i="18"/>
  <c r="AF146" i="18"/>
  <c r="AP5" i="18"/>
  <c r="AN139" i="18"/>
  <c r="AN134" i="18"/>
  <c r="AN146" i="18"/>
  <c r="I138" i="18"/>
  <c r="AA7" i="18"/>
  <c r="AB7" i="18"/>
  <c r="S18" i="18"/>
  <c r="W18" i="23" s="1"/>
  <c r="M137" i="18"/>
  <c r="Q30" i="18"/>
  <c r="AH138" i="18"/>
  <c r="AH145" i="18"/>
  <c r="AR7" i="18"/>
  <c r="AL138" i="18"/>
  <c r="AL145" i="18"/>
  <c r="AP7" i="18"/>
  <c r="AB9" i="18"/>
  <c r="AK143" i="18"/>
  <c r="AK136" i="18"/>
  <c r="AB16" i="18"/>
  <c r="Z16" i="18"/>
  <c r="AI139" i="18"/>
  <c r="AI134" i="18"/>
  <c r="AI146" i="18"/>
  <c r="AM139" i="18"/>
  <c r="AM134" i="18"/>
  <c r="AM146" i="18"/>
  <c r="P6" i="18"/>
  <c r="AD6" i="18" s="1"/>
  <c r="AQ6" i="18"/>
  <c r="AS6" i="18"/>
  <c r="AD7" i="18"/>
  <c r="R12" i="18"/>
  <c r="R138" i="18" s="1"/>
  <c r="P13" i="18"/>
  <c r="AC13" i="18"/>
  <c r="P14" i="18"/>
  <c r="S14" i="18" s="1"/>
  <c r="Z17" i="18"/>
  <c r="AD18" i="18"/>
  <c r="AR18" i="18"/>
  <c r="R20" i="18"/>
  <c r="AP20" i="18"/>
  <c r="AS20" i="18"/>
  <c r="P21" i="18"/>
  <c r="AC21" i="18"/>
  <c r="P22" i="18"/>
  <c r="S22" i="18" s="1"/>
  <c r="AB24" i="18"/>
  <c r="AB27" i="18"/>
  <c r="AD27" i="18"/>
  <c r="R32" i="18"/>
  <c r="AP32" i="18"/>
  <c r="AS32" i="18"/>
  <c r="P33" i="18"/>
  <c r="S33" i="18"/>
  <c r="W33" i="23" s="1"/>
  <c r="AC33" i="18"/>
  <c r="P34" i="18"/>
  <c r="AD34" i="18" s="1"/>
  <c r="AB36" i="18"/>
  <c r="P93" i="18"/>
  <c r="Y93" i="18"/>
  <c r="Z93" i="18" s="1"/>
  <c r="M139" i="18"/>
  <c r="M134" i="18"/>
  <c r="AG134" i="18"/>
  <c r="AG146" i="18"/>
  <c r="AG139" i="18"/>
  <c r="AK134" i="18"/>
  <c r="AK146" i="18"/>
  <c r="AK139" i="18"/>
  <c r="Y6" i="18"/>
  <c r="Z6" i="18" s="1"/>
  <c r="G138" i="18"/>
  <c r="C10" i="17" s="1"/>
  <c r="C28" i="17" s="1"/>
  <c r="K138" i="18"/>
  <c r="AI145" i="18"/>
  <c r="AI138" i="18"/>
  <c r="AM145" i="18"/>
  <c r="AM138" i="18"/>
  <c r="F136" i="18"/>
  <c r="B8" i="17" s="1"/>
  <c r="B26" i="17" s="1"/>
  <c r="J136" i="18"/>
  <c r="N136" i="18"/>
  <c r="Y10" i="18"/>
  <c r="AH143" i="18"/>
  <c r="AH136" i="18"/>
  <c r="AL143" i="18"/>
  <c r="AL136" i="18"/>
  <c r="Y14" i="18"/>
  <c r="Y18" i="18"/>
  <c r="Z18" i="18"/>
  <c r="Y22" i="18"/>
  <c r="Z22" i="18"/>
  <c r="Y26" i="18"/>
  <c r="Z26" i="18"/>
  <c r="F137" i="18"/>
  <c r="B9" i="17" s="1"/>
  <c r="B27" i="17" s="1"/>
  <c r="J137" i="18"/>
  <c r="N137" i="18"/>
  <c r="Y30" i="18"/>
  <c r="AC30" i="18"/>
  <c r="AH137" i="18"/>
  <c r="AH144" i="18"/>
  <c r="AL137" i="18"/>
  <c r="AL144" i="18"/>
  <c r="Y34" i="18"/>
  <c r="Z34" i="18" s="1"/>
  <c r="Y38" i="18"/>
  <c r="Z38" i="18"/>
  <c r="AP38" i="18"/>
  <c r="AS38" i="18"/>
  <c r="AQ39" i="18"/>
  <c r="AS39" i="18"/>
  <c r="AD40" i="18"/>
  <c r="P41" i="18"/>
  <c r="AD41" i="18" s="1"/>
  <c r="Y41" i="18"/>
  <c r="AB42" i="18"/>
  <c r="Z42" i="18"/>
  <c r="AB43" i="18"/>
  <c r="AD46" i="18"/>
  <c r="AQ47" i="18"/>
  <c r="AS47" i="18"/>
  <c r="Q49" i="18"/>
  <c r="AB51" i="18"/>
  <c r="AD54" i="18"/>
  <c r="AQ55" i="18"/>
  <c r="AS55" i="18"/>
  <c r="S56" i="18"/>
  <c r="W56" i="23" s="1"/>
  <c r="X56" i="18"/>
  <c r="Q57" i="18"/>
  <c r="AS57" i="18"/>
  <c r="AP58" i="18"/>
  <c r="AS58" i="18"/>
  <c r="P59" i="18"/>
  <c r="S59" i="18"/>
  <c r="W59" i="23" s="1"/>
  <c r="AC59" i="18"/>
  <c r="P60" i="18"/>
  <c r="Y61" i="18"/>
  <c r="Z61" i="18" s="1"/>
  <c r="P73" i="18"/>
  <c r="AB73" i="18" s="1"/>
  <c r="Y73" i="18"/>
  <c r="Z94" i="18"/>
  <c r="P63" i="18"/>
  <c r="Z63" i="18" s="1"/>
  <c r="AC63" i="18"/>
  <c r="I139" i="18"/>
  <c r="I134" i="18"/>
  <c r="F139" i="18"/>
  <c r="B11" i="17" s="1"/>
  <c r="B29" i="17" s="1"/>
  <c r="F134" i="18"/>
  <c r="J139" i="18"/>
  <c r="J134" i="18"/>
  <c r="N139" i="18"/>
  <c r="N134" i="18"/>
  <c r="Y5" i="18"/>
  <c r="Z5" i="18"/>
  <c r="AH146" i="18"/>
  <c r="AR146" i="18"/>
  <c r="AH139" i="18"/>
  <c r="AH134" i="18"/>
  <c r="AL146" i="18"/>
  <c r="AL139" i="18"/>
  <c r="AL134" i="18"/>
  <c r="AQ5" i="18"/>
  <c r="H138" i="18"/>
  <c r="D10" i="17" s="1"/>
  <c r="D28" i="17" s="1"/>
  <c r="L138" i="18"/>
  <c r="Q7" i="18"/>
  <c r="AF145" i="18"/>
  <c r="AF138" i="18"/>
  <c r="AJ145" i="18"/>
  <c r="AJ138" i="18"/>
  <c r="AN145" i="18"/>
  <c r="AN138" i="18"/>
  <c r="G136" i="18"/>
  <c r="C8" i="17" s="1"/>
  <c r="K136" i="18"/>
  <c r="P10" i="18"/>
  <c r="P136" i="18" s="1"/>
  <c r="AI136" i="18"/>
  <c r="AI143" i="18"/>
  <c r="AM136" i="18"/>
  <c r="AM143" i="18"/>
  <c r="AR10" i="18"/>
  <c r="AP12" i="18"/>
  <c r="G137" i="18"/>
  <c r="C9" i="17" s="1"/>
  <c r="E9" i="17" s="1"/>
  <c r="K137" i="18"/>
  <c r="P30" i="18"/>
  <c r="AB30" i="18" s="1"/>
  <c r="AI137" i="18"/>
  <c r="AI144" i="18"/>
  <c r="AM137" i="18"/>
  <c r="AM144" i="18"/>
  <c r="AR30" i="18"/>
  <c r="Q38" i="18"/>
  <c r="S38" i="18" s="1"/>
  <c r="R39" i="18"/>
  <c r="R139" i="18" s="1"/>
  <c r="AB39" i="18"/>
  <c r="Q41" i="18"/>
  <c r="S41" i="18" s="1"/>
  <c r="W41" i="23" s="1"/>
  <c r="Z43" i="18"/>
  <c r="AD44" i="18"/>
  <c r="AR44" i="18"/>
  <c r="R46" i="18"/>
  <c r="AP46" i="18"/>
  <c r="AS46" i="18"/>
  <c r="P47" i="18"/>
  <c r="AC47" i="18"/>
  <c r="P48" i="18"/>
  <c r="S48" i="18" s="1"/>
  <c r="Z51" i="18"/>
  <c r="AD52" i="18"/>
  <c r="AR52" i="18"/>
  <c r="R54" i="18"/>
  <c r="AP54" i="18"/>
  <c r="AS54" i="18"/>
  <c r="P55" i="18"/>
  <c r="AC55" i="18"/>
  <c r="AB58" i="18"/>
  <c r="AB59" i="18"/>
  <c r="AB61" i="18"/>
  <c r="AD61" i="18"/>
  <c r="AD64" i="18"/>
  <c r="AR64" i="18"/>
  <c r="AD80" i="18"/>
  <c r="AD90" i="18"/>
  <c r="H136" i="18"/>
  <c r="D8" i="17" s="1"/>
  <c r="D26" i="17" s="1"/>
  <c r="D25" i="17" s="1"/>
  <c r="L136" i="18"/>
  <c r="AF136" i="18"/>
  <c r="AF143" i="18"/>
  <c r="AJ136" i="18"/>
  <c r="AJ143" i="18"/>
  <c r="AN136" i="18"/>
  <c r="AN143" i="18"/>
  <c r="AF144" i="18"/>
  <c r="AF137" i="18"/>
  <c r="AJ144" i="18"/>
  <c r="AJ137" i="18"/>
  <c r="AN144" i="18"/>
  <c r="AN137" i="18"/>
  <c r="AD42" i="18"/>
  <c r="AS42" i="18"/>
  <c r="AS45" i="18"/>
  <c r="AD49" i="18"/>
  <c r="AD50" i="18"/>
  <c r="AS50" i="18"/>
  <c r="S51" i="18"/>
  <c r="W51" i="23" s="1"/>
  <c r="S52" i="18"/>
  <c r="W52" i="23" s="1"/>
  <c r="AS53" i="18"/>
  <c r="Z59" i="18"/>
  <c r="AD60" i="18"/>
  <c r="AS62" i="18"/>
  <c r="P67" i="18"/>
  <c r="S67" i="18" s="1"/>
  <c r="W67" i="23" s="1"/>
  <c r="AC67" i="18"/>
  <c r="AB80" i="18"/>
  <c r="Z90" i="18"/>
  <c r="Y40" i="18"/>
  <c r="Z40" i="18" s="1"/>
  <c r="Y44" i="18"/>
  <c r="Z44" i="18"/>
  <c r="Y48" i="18"/>
  <c r="Z48" i="18" s="1"/>
  <c r="Y52" i="18"/>
  <c r="Z52" i="18"/>
  <c r="Y56" i="18"/>
  <c r="Z56" i="18" s="1"/>
  <c r="Y60" i="18"/>
  <c r="Z60" i="18"/>
  <c r="Y64" i="18"/>
  <c r="Z64" i="18" s="1"/>
  <c r="AR65" i="18"/>
  <c r="AB66" i="18"/>
  <c r="Z66" i="18"/>
  <c r="AD70" i="18"/>
  <c r="AQ71" i="18"/>
  <c r="AS71" i="18"/>
  <c r="Q73" i="18"/>
  <c r="S73" i="18" s="1"/>
  <c r="W73" i="23" s="1"/>
  <c r="AS73" i="18"/>
  <c r="AB74" i="18"/>
  <c r="Z74" i="18"/>
  <c r="P75" i="18"/>
  <c r="AD76" i="18"/>
  <c r="AR76" i="18"/>
  <c r="AP77" i="18"/>
  <c r="AS77" i="18"/>
  <c r="R78" i="18"/>
  <c r="AQ78" i="18"/>
  <c r="AS78" i="18"/>
  <c r="Q80" i="18"/>
  <c r="S80" i="18" s="1"/>
  <c r="W80" i="23" s="1"/>
  <c r="R81" i="18"/>
  <c r="Y81" i="18"/>
  <c r="Z81" i="18" s="1"/>
  <c r="AD86" i="18"/>
  <c r="S87" i="18"/>
  <c r="W87" i="23" s="1"/>
  <c r="AQ87" i="18"/>
  <c r="AS87" i="18"/>
  <c r="AR88" i="18"/>
  <c r="AP89" i="18"/>
  <c r="AS89" i="18"/>
  <c r="R90" i="18"/>
  <c r="AP90" i="18"/>
  <c r="AD91" i="18"/>
  <c r="AR91" i="18"/>
  <c r="P92" i="18"/>
  <c r="Q93" i="18"/>
  <c r="AP93" i="18"/>
  <c r="AS93" i="18"/>
  <c r="R94" i="18"/>
  <c r="AD97" i="18"/>
  <c r="AD68" i="18"/>
  <c r="AR68" i="18"/>
  <c r="R70" i="18"/>
  <c r="AP70" i="18"/>
  <c r="AS70" i="18"/>
  <c r="P71" i="18"/>
  <c r="S71" i="18" s="1"/>
  <c r="AC71" i="18"/>
  <c r="P72" i="18"/>
  <c r="S72" i="18" s="1"/>
  <c r="R73" i="18"/>
  <c r="AQ75" i="18"/>
  <c r="AS75" i="18"/>
  <c r="Q77" i="18"/>
  <c r="P79" i="18"/>
  <c r="S79" i="18" s="1"/>
  <c r="W79" i="23" s="1"/>
  <c r="AB81" i="18"/>
  <c r="AD81" i="18"/>
  <c r="S83" i="18"/>
  <c r="W83" i="23" s="1"/>
  <c r="AQ83" i="18"/>
  <c r="AS83" i="18"/>
  <c r="AR84" i="18"/>
  <c r="AP85" i="18"/>
  <c r="AS85" i="18"/>
  <c r="R86" i="18"/>
  <c r="AP86" i="18"/>
  <c r="AS86" i="18"/>
  <c r="AD87" i="18"/>
  <c r="AR87" i="18"/>
  <c r="P88" i="18"/>
  <c r="AD88" i="18" s="1"/>
  <c r="Q89" i="18"/>
  <c r="S89" i="18" s="1"/>
  <c r="AQ90" i="18"/>
  <c r="AB91" i="18"/>
  <c r="Q92" i="18"/>
  <c r="S92" i="18" s="1"/>
  <c r="R93" i="18"/>
  <c r="AD66" i="18"/>
  <c r="AS66" i="18"/>
  <c r="S68" i="18"/>
  <c r="W68" i="23" s="1"/>
  <c r="AS69" i="18"/>
  <c r="AD83" i="18"/>
  <c r="AD84" i="18"/>
  <c r="AB87" i="18"/>
  <c r="AB90" i="18"/>
  <c r="P100" i="18"/>
  <c r="AD100" i="18" s="1"/>
  <c r="Y100" i="18"/>
  <c r="S103" i="18"/>
  <c r="W103" i="23" s="1"/>
  <c r="Y68" i="18"/>
  <c r="Z68" i="18" s="1"/>
  <c r="Y72" i="18"/>
  <c r="Y76" i="18"/>
  <c r="Z76" i="18" s="1"/>
  <c r="Y80" i="18"/>
  <c r="Z80" i="18"/>
  <c r="Y84" i="18"/>
  <c r="Z84" i="18" s="1"/>
  <c r="Y88" i="18"/>
  <c r="Y92" i="18"/>
  <c r="Z92" i="18" s="1"/>
  <c r="AP94" i="18"/>
  <c r="S95" i="18"/>
  <c r="W95" i="23" s="1"/>
  <c r="AR95" i="18"/>
  <c r="R97" i="18"/>
  <c r="AS97" i="18"/>
  <c r="AQ98" i="18"/>
  <c r="AS98" i="18"/>
  <c r="Q100" i="18"/>
  <c r="S100" i="18" s="1"/>
  <c r="W100" i="23" s="1"/>
  <c r="P102" i="18"/>
  <c r="AD105" i="18"/>
  <c r="S106" i="18"/>
  <c r="W106" i="23" s="1"/>
  <c r="AQ106" i="18"/>
  <c r="AS106" i="18"/>
  <c r="AR107" i="18"/>
  <c r="AD108" i="18"/>
  <c r="AD109" i="18"/>
  <c r="S110" i="18"/>
  <c r="W110" i="23" s="1"/>
  <c r="AQ110" i="18"/>
  <c r="AS110" i="18"/>
  <c r="AR111" i="18"/>
  <c r="AD112" i="18"/>
  <c r="Y75" i="18"/>
  <c r="Z75" i="18" s="1"/>
  <c r="Y79" i="18"/>
  <c r="Y83" i="18"/>
  <c r="Z83" i="18" s="1"/>
  <c r="Y87" i="18"/>
  <c r="Z87" i="18" s="1"/>
  <c r="Y91" i="18"/>
  <c r="Z91" i="18" s="1"/>
  <c r="AQ94" i="18"/>
  <c r="AS94" i="18"/>
  <c r="AD95" i="18"/>
  <c r="Q96" i="18"/>
  <c r="S96" i="18" s="1"/>
  <c r="AP97" i="18"/>
  <c r="P98" i="18"/>
  <c r="S98" i="18" s="1"/>
  <c r="AC98" i="18"/>
  <c r="P99" i="18"/>
  <c r="S99" i="18"/>
  <c r="W99" i="23" s="1"/>
  <c r="AD103" i="18"/>
  <c r="AR103" i="18"/>
  <c r="AP104" i="18"/>
  <c r="AS104" i="18"/>
  <c r="R105" i="18"/>
  <c r="AP105" i="18"/>
  <c r="AD106" i="18"/>
  <c r="AR106" i="18"/>
  <c r="P107" i="18"/>
  <c r="AD107" i="18" s="1"/>
  <c r="Q108" i="18"/>
  <c r="S108" i="18" s="1"/>
  <c r="AP108" i="18"/>
  <c r="R109" i="18"/>
  <c r="AP109" i="18"/>
  <c r="AD110" i="18"/>
  <c r="AR110" i="18"/>
  <c r="P111" i="18"/>
  <c r="AB111" i="18" s="1"/>
  <c r="Q112" i="18"/>
  <c r="S112" i="18" s="1"/>
  <c r="AP112" i="18"/>
  <c r="AS112" i="18"/>
  <c r="AD113" i="18"/>
  <c r="Z114" i="18"/>
  <c r="Y96" i="18"/>
  <c r="Z96" i="18" s="1"/>
  <c r="AB97" i="18"/>
  <c r="AB100" i="18"/>
  <c r="AP100" i="18"/>
  <c r="AS100" i="18"/>
  <c r="AQ102" i="18"/>
  <c r="AS102" i="18"/>
  <c r="Q104" i="18"/>
  <c r="S104" i="18" s="1"/>
  <c r="W104" i="23" s="1"/>
  <c r="AQ105" i="18"/>
  <c r="AS105" i="18"/>
  <c r="Q107" i="18"/>
  <c r="R108" i="18"/>
  <c r="Y108" i="18"/>
  <c r="Z108" i="18" s="1"/>
  <c r="AS108" i="18"/>
  <c r="AQ109" i="18"/>
  <c r="AB110" i="18"/>
  <c r="Q111" i="18"/>
  <c r="R112" i="18"/>
  <c r="Y112" i="18"/>
  <c r="Z112" i="18" s="1"/>
  <c r="AD114" i="18"/>
  <c r="Y95" i="18"/>
  <c r="Z95" i="18" s="1"/>
  <c r="Y99" i="18"/>
  <c r="Y103" i="18"/>
  <c r="Z103" i="18"/>
  <c r="Y107" i="18"/>
  <c r="Z107" i="18" s="1"/>
  <c r="Y111" i="18"/>
  <c r="R113" i="18"/>
  <c r="R114" i="18"/>
  <c r="AS114" i="18"/>
  <c r="Y106" i="18"/>
  <c r="Z106" i="18" s="1"/>
  <c r="Y110" i="18"/>
  <c r="Z110" i="18" s="1"/>
  <c r="AB113" i="18"/>
  <c r="AS113" i="18"/>
  <c r="AB114" i="18"/>
  <c r="P115" i="18"/>
  <c r="AD118" i="18"/>
  <c r="S119" i="18"/>
  <c r="W119" i="23" s="1"/>
  <c r="AQ119" i="18"/>
  <c r="AS119" i="18"/>
  <c r="AR120" i="18"/>
  <c r="AD121" i="18"/>
  <c r="AD122" i="18"/>
  <c r="AQ123" i="18"/>
  <c r="AS123" i="18"/>
  <c r="AR124" i="18"/>
  <c r="Y128" i="18"/>
  <c r="Z128" i="18" s="1"/>
  <c r="P128" i="18"/>
  <c r="AQ115" i="18"/>
  <c r="AS115" i="18"/>
  <c r="AR116" i="18"/>
  <c r="AP117" i="18"/>
  <c r="AS117" i="18"/>
  <c r="R118" i="18"/>
  <c r="AP118" i="18"/>
  <c r="AS118" i="18"/>
  <c r="AD119" i="18"/>
  <c r="AR119" i="18"/>
  <c r="P120" i="18"/>
  <c r="S120" i="18" s="1"/>
  <c r="W120" i="23" s="1"/>
  <c r="Q121" i="18"/>
  <c r="S121" i="18" s="1"/>
  <c r="AP121" i="18"/>
  <c r="AS121" i="18"/>
  <c r="R122" i="18"/>
  <c r="AP122" i="18"/>
  <c r="AS122" i="18"/>
  <c r="AD123" i="18"/>
  <c r="AR123" i="18"/>
  <c r="P124" i="18"/>
  <c r="S124" i="18" s="1"/>
  <c r="Q125" i="18"/>
  <c r="S125" i="18" s="1"/>
  <c r="W125" i="23" s="1"/>
  <c r="AP125" i="18"/>
  <c r="AS125" i="18"/>
  <c r="R126" i="18"/>
  <c r="AP126" i="18"/>
  <c r="AS126" i="18"/>
  <c r="P131" i="18"/>
  <c r="AD131" i="18"/>
  <c r="Y131" i="18"/>
  <c r="Y116" i="18"/>
  <c r="Z116" i="18" s="1"/>
  <c r="Y120" i="18"/>
  <c r="Y124" i="18"/>
  <c r="Z124" i="18" s="1"/>
  <c r="AQ129" i="18"/>
  <c r="AS129" i="18"/>
  <c r="Q131" i="18"/>
  <c r="S131" i="18" s="1"/>
  <c r="S163" i="18"/>
  <c r="S166" i="18"/>
  <c r="S167" i="18"/>
  <c r="S201" i="18"/>
  <c r="Y115" i="18"/>
  <c r="Z115" i="18" s="1"/>
  <c r="Y119" i="18"/>
  <c r="Z119" i="18" s="1"/>
  <c r="Y123" i="18"/>
  <c r="Z123" i="18" s="1"/>
  <c r="P127" i="18"/>
  <c r="AB127" i="18" s="1"/>
  <c r="Y127" i="18"/>
  <c r="Z127" i="18" s="1"/>
  <c r="R128" i="18"/>
  <c r="AP128" i="18"/>
  <c r="AS128" i="18"/>
  <c r="P129" i="18"/>
  <c r="Z129" i="18" s="1"/>
  <c r="AC129" i="18"/>
  <c r="P130" i="18"/>
  <c r="S199" i="18"/>
  <c r="S204" i="18"/>
  <c r="Q127" i="18"/>
  <c r="AR127" i="18"/>
  <c r="AD132" i="18"/>
  <c r="AS132" i="18"/>
  <c r="S203" i="18"/>
  <c r="Y130" i="18"/>
  <c r="AR139" i="18"/>
  <c r="AH141" i="18"/>
  <c r="AS35" i="18"/>
  <c r="AS31" i="18"/>
  <c r="AG137" i="21"/>
  <c r="AS101" i="18"/>
  <c r="AS63" i="18"/>
  <c r="AS28" i="18"/>
  <c r="AS40" i="18"/>
  <c r="AR138" i="18"/>
  <c r="AN141" i="18"/>
  <c r="AF141" i="18"/>
  <c r="AS7" i="18"/>
  <c r="AS33" i="18"/>
  <c r="AG141" i="18"/>
  <c r="AM141" i="18"/>
  <c r="AG139" i="21"/>
  <c r="AL141" i="18"/>
  <c r="AR134" i="18"/>
  <c r="AS91" i="18"/>
  <c r="AG138" i="21"/>
  <c r="K50" i="17"/>
  <c r="K54" i="17" s="1"/>
  <c r="K55" i="17" s="1"/>
  <c r="W136" i="23"/>
  <c r="AK44" i="22"/>
  <c r="Q105" i="22"/>
  <c r="AI111" i="22"/>
  <c r="AL79" i="22"/>
  <c r="AI25" i="22"/>
  <c r="AI98" i="22"/>
  <c r="AK102" i="22"/>
  <c r="AH139" i="22"/>
  <c r="AL93" i="22"/>
  <c r="Q100" i="22"/>
  <c r="AI79" i="22"/>
  <c r="Q54" i="22"/>
  <c r="AI53" i="22"/>
  <c r="AL36" i="22"/>
  <c r="T101" i="22"/>
  <c r="AI93" i="22"/>
  <c r="AI36" i="22"/>
  <c r="AI21" i="22"/>
  <c r="AD141" i="22"/>
  <c r="M141" i="22"/>
  <c r="M146" i="22" s="1"/>
  <c r="AL41" i="22"/>
  <c r="S141" i="22"/>
  <c r="S146" i="22"/>
  <c r="P141" i="22"/>
  <c r="P146" i="22"/>
  <c r="Z145" i="22"/>
  <c r="W146" i="22"/>
  <c r="Z146" i="22"/>
  <c r="F146" i="22"/>
  <c r="F144" i="22"/>
  <c r="AB79" i="18"/>
  <c r="AD15" i="18"/>
  <c r="AB128" i="18"/>
  <c r="Z99" i="18"/>
  <c r="S107" i="18"/>
  <c r="W107" i="23" s="1"/>
  <c r="AB78" i="18"/>
  <c r="Z78" i="18"/>
  <c r="S63" i="18"/>
  <c r="W63" i="23" s="1"/>
  <c r="AD93" i="18"/>
  <c r="AD55" i="18"/>
  <c r="AB63" i="18"/>
  <c r="Z50" i="18"/>
  <c r="Z25" i="18"/>
  <c r="AD65" i="18"/>
  <c r="AB45" i="18"/>
  <c r="Z45" i="18"/>
  <c r="Z117" i="18"/>
  <c r="AB65" i="18"/>
  <c r="AB46" i="18"/>
  <c r="AB122" i="18"/>
  <c r="Z126" i="18"/>
  <c r="AB11" i="18"/>
  <c r="S86" i="18"/>
  <c r="W86" i="23" s="1"/>
  <c r="AD101" i="18"/>
  <c r="S117" i="18"/>
  <c r="W117" i="23" s="1"/>
  <c r="AD19" i="18"/>
  <c r="S46" i="18"/>
  <c r="W46" i="23" s="1"/>
  <c r="X46" i="18"/>
  <c r="S78" i="18"/>
  <c r="W78" i="23" s="1"/>
  <c r="Z79" i="18"/>
  <c r="AD79" i="18"/>
  <c r="AB50" i="18"/>
  <c r="Z30" i="18"/>
  <c r="AD78" i="18"/>
  <c r="AD33" i="18"/>
  <c r="AD13" i="18"/>
  <c r="AB117" i="18"/>
  <c r="AB15" i="18"/>
  <c r="Z62" i="18"/>
  <c r="Z65" i="18"/>
  <c r="AD77" i="18"/>
  <c r="AD45" i="18"/>
  <c r="S42" i="18"/>
  <c r="W42" i="23" s="1"/>
  <c r="X42" i="18"/>
  <c r="AB77" i="18"/>
  <c r="S53" i="18"/>
  <c r="W53" i="23" s="1"/>
  <c r="AB99" i="18"/>
  <c r="S65" i="18"/>
  <c r="W65" i="23" s="1"/>
  <c r="AD73" i="18"/>
  <c r="Z130" i="18"/>
  <c r="Z131" i="18"/>
  <c r="AD120" i="18"/>
  <c r="S77" i="18"/>
  <c r="W77" i="23" s="1"/>
  <c r="AD71" i="18"/>
  <c r="S93" i="18"/>
  <c r="W93" i="23" s="1"/>
  <c r="AD57" i="18"/>
  <c r="AD63" i="18"/>
  <c r="Z73" i="18"/>
  <c r="AD126" i="18"/>
  <c r="S91" i="18"/>
  <c r="W91" i="23" s="1"/>
  <c r="S15" i="18"/>
  <c r="W15" i="23" s="1"/>
  <c r="AD58" i="18"/>
  <c r="Z53" i="18"/>
  <c r="S122" i="18"/>
  <c r="W122" i="23" s="1"/>
  <c r="AD62" i="18"/>
  <c r="S105" i="18"/>
  <c r="W105" i="23" s="1"/>
  <c r="X105" i="18"/>
  <c r="J41" i="17"/>
  <c r="J42" i="17"/>
  <c r="J43" i="17"/>
  <c r="J44" i="17"/>
  <c r="C55" i="17"/>
  <c r="E56" i="17"/>
  <c r="B55" i="17"/>
  <c r="I41" i="17"/>
  <c r="I42" i="17"/>
  <c r="I43" i="17"/>
  <c r="I44" i="17"/>
  <c r="H39" i="17"/>
  <c r="J50" i="17"/>
  <c r="L19" i="17"/>
  <c r="L20" i="17" s="1"/>
  <c r="L17" i="17"/>
  <c r="L18" i="17" s="1"/>
  <c r="L33" i="17"/>
  <c r="L50" i="17" s="1"/>
  <c r="H30" i="17"/>
  <c r="H31" i="17"/>
  <c r="H28" i="17"/>
  <c r="H29" i="17"/>
  <c r="E57" i="17"/>
  <c r="H49" i="17"/>
  <c r="I50" i="17"/>
  <c r="I54" i="17" s="1"/>
  <c r="I55" i="17" s="1"/>
  <c r="H68" i="17"/>
  <c r="K43" i="17"/>
  <c r="K44" i="17"/>
  <c r="K41" i="17"/>
  <c r="K42" i="17"/>
  <c r="AA137" i="21"/>
  <c r="AA139" i="21"/>
  <c r="AF138" i="21"/>
  <c r="AF140" i="21"/>
  <c r="AF135" i="21"/>
  <c r="AA138" i="21"/>
  <c r="AF137" i="21"/>
  <c r="AF139" i="21"/>
  <c r="AA140" i="21"/>
  <c r="AA135" i="21"/>
  <c r="AG140" i="21"/>
  <c r="AG135" i="21"/>
  <c r="W148" i="22"/>
  <c r="Z148" i="22"/>
  <c r="X148" i="22"/>
  <c r="P142" i="22"/>
  <c r="P147" i="22"/>
  <c r="O147" i="22"/>
  <c r="O145" i="22"/>
  <c r="P140" i="22"/>
  <c r="P145" i="22"/>
  <c r="AK111" i="22"/>
  <c r="S140" i="22"/>
  <c r="S145" i="22"/>
  <c r="P139" i="22"/>
  <c r="P144" i="22"/>
  <c r="O144" i="22"/>
  <c r="AC141" i="22"/>
  <c r="H141" i="22"/>
  <c r="H146" i="22"/>
  <c r="H7" i="22"/>
  <c r="AC133" i="22"/>
  <c r="AC134" i="22"/>
  <c r="H136" i="22"/>
  <c r="H148" i="22"/>
  <c r="AC142" i="22"/>
  <c r="H142" i="22"/>
  <c r="H147" i="22"/>
  <c r="AK61" i="22"/>
  <c r="AL61" i="22"/>
  <c r="Q27" i="22"/>
  <c r="X136" i="22"/>
  <c r="L136" i="22"/>
  <c r="L134" i="23" s="1"/>
  <c r="Q25" i="22"/>
  <c r="G139" i="22"/>
  <c r="G144" i="22"/>
  <c r="AJ142" i="22"/>
  <c r="Y148" i="22"/>
  <c r="AL21" i="22"/>
  <c r="AD133" i="22"/>
  <c r="Q110" i="22"/>
  <c r="AI110" i="22"/>
  <c r="AK105" i="22"/>
  <c r="AI82" i="22"/>
  <c r="Q82" i="22"/>
  <c r="R144" i="22"/>
  <c r="S139" i="22"/>
  <c r="S144" i="22"/>
  <c r="AL85" i="22"/>
  <c r="AC140" i="22"/>
  <c r="H140" i="22"/>
  <c r="H145" i="22"/>
  <c r="AK82" i="22"/>
  <c r="Q78" i="22"/>
  <c r="AI78" i="22"/>
  <c r="AH140" i="22"/>
  <c r="K145" i="22"/>
  <c r="L140" i="22"/>
  <c r="L145" i="22"/>
  <c r="AC139" i="22"/>
  <c r="H139" i="22"/>
  <c r="H144" i="22"/>
  <c r="H10" i="22"/>
  <c r="P136" i="22"/>
  <c r="P148" i="22"/>
  <c r="Y136" i="22"/>
  <c r="R147" i="22"/>
  <c r="S142" i="22"/>
  <c r="S147" i="22"/>
  <c r="Q48" i="22"/>
  <c r="AK27" i="22"/>
  <c r="AF133" i="22"/>
  <c r="AF134" i="22"/>
  <c r="AF136" i="22"/>
  <c r="AF142" i="22"/>
  <c r="T142" i="22"/>
  <c r="T147" i="22"/>
  <c r="T5" i="22"/>
  <c r="AD139" i="22"/>
  <c r="L141" i="22"/>
  <c r="L146" i="22" s="1"/>
  <c r="L142" i="22"/>
  <c r="L147" i="22"/>
  <c r="K147" i="22"/>
  <c r="AD140" i="22"/>
  <c r="M140" i="22"/>
  <c r="M145" i="22"/>
  <c r="AK25" i="22"/>
  <c r="AE139" i="22"/>
  <c r="Q139" i="22"/>
  <c r="Q144" i="22"/>
  <c r="AI10" i="22"/>
  <c r="AE142" i="22"/>
  <c r="Q142" i="22"/>
  <c r="Q147" i="22"/>
  <c r="AE133" i="22"/>
  <c r="AE134" i="22"/>
  <c r="AE136" i="22"/>
  <c r="AI5" i="22"/>
  <c r="Y144" i="22"/>
  <c r="X145" i="22"/>
  <c r="AD142" i="22"/>
  <c r="M142" i="22"/>
  <c r="M147" i="22" s="1"/>
  <c r="AI128" i="22"/>
  <c r="AI140" i="22"/>
  <c r="Q128" i="22"/>
  <c r="AK128" i="22"/>
  <c r="Q108" i="22"/>
  <c r="AI108" i="22"/>
  <c r="Q111" i="22"/>
  <c r="AI117" i="22"/>
  <c r="Q117" i="22"/>
  <c r="AK109" i="22"/>
  <c r="AI91" i="22"/>
  <c r="AL88" i="22"/>
  <c r="T88" i="22"/>
  <c r="AL86" i="22"/>
  <c r="T86" i="22"/>
  <c r="Q66" i="22"/>
  <c r="AI66" i="22"/>
  <c r="T69" i="22"/>
  <c r="AL69" i="22"/>
  <c r="Q44" i="22"/>
  <c r="Y146" i="22"/>
  <c r="O146" i="22"/>
  <c r="W150" i="22"/>
  <c r="W144" i="22"/>
  <c r="W138" i="22"/>
  <c r="Z136" i="22"/>
  <c r="S136" i="22"/>
  <c r="S148" i="22"/>
  <c r="X138" i="22"/>
  <c r="AK48" i="22"/>
  <c r="X146" i="22"/>
  <c r="H30" i="22"/>
  <c r="AF139" i="22"/>
  <c r="T139" i="22"/>
  <c r="T144" i="22"/>
  <c r="AF141" i="22"/>
  <c r="T141" i="22"/>
  <c r="T146" i="22"/>
  <c r="T7" i="22"/>
  <c r="AI101" i="22"/>
  <c r="Y150" i="22"/>
  <c r="AJ141" i="22"/>
  <c r="W136" i="22"/>
  <c r="G136" i="22"/>
  <c r="G148" i="22"/>
  <c r="X150" i="22"/>
  <c r="AE140" i="22"/>
  <c r="Q140" i="22"/>
  <c r="Q145" i="22"/>
  <c r="AD134" i="22"/>
  <c r="AD136" i="22"/>
  <c r="AK10" i="22"/>
  <c r="AI97" i="22"/>
  <c r="AI87" i="22"/>
  <c r="AI85" i="22"/>
  <c r="AL97" i="22"/>
  <c r="AF140" i="22"/>
  <c r="T140" i="22"/>
  <c r="T145" i="22"/>
  <c r="AI124" i="22"/>
  <c r="Q124" i="22"/>
  <c r="AI28" i="22"/>
  <c r="Q28" i="22"/>
  <c r="AH141" i="22"/>
  <c r="AH134" i="22"/>
  <c r="AH142" i="22"/>
  <c r="H5" i="22"/>
  <c r="F145" i="22"/>
  <c r="G140" i="22"/>
  <c r="G145" i="22"/>
  <c r="Z150" i="22"/>
  <c r="AI84" i="22"/>
  <c r="Q84" i="22"/>
  <c r="Q17" i="22"/>
  <c r="AI17" i="22"/>
  <c r="Y145" i="22"/>
  <c r="AE141" i="22"/>
  <c r="Q141" i="22"/>
  <c r="Q146" i="22"/>
  <c r="AI7" i="22"/>
  <c r="G141" i="22"/>
  <c r="G146" i="22"/>
  <c r="AJ134" i="22"/>
  <c r="F147" i="22"/>
  <c r="G142" i="22"/>
  <c r="G147" i="22"/>
  <c r="AJ140" i="22"/>
  <c r="AK54" i="22"/>
  <c r="AJ139" i="22"/>
  <c r="H35" i="25"/>
  <c r="H34" i="25"/>
  <c r="H33" i="25"/>
  <c r="H32" i="25"/>
  <c r="H31" i="25"/>
  <c r="H30" i="25"/>
  <c r="M30" i="25"/>
  <c r="W135" i="19"/>
  <c r="Y135" i="19"/>
  <c r="AJ141" i="18"/>
  <c r="AP138" i="18"/>
  <c r="AK141" i="18"/>
  <c r="AI141" i="18"/>
  <c r="AQ138" i="18"/>
  <c r="AD128" i="18"/>
  <c r="AQ144" i="18"/>
  <c r="AP137" i="18"/>
  <c r="S55" i="18"/>
  <c r="W55" i="23" s="1"/>
  <c r="AR144" i="18"/>
  <c r="AR136" i="18"/>
  <c r="AQ139" i="18"/>
  <c r="AP139" i="18"/>
  <c r="AD37" i="18"/>
  <c r="AD51" i="18"/>
  <c r="S6" i="18"/>
  <c r="W6" i="23" s="1"/>
  <c r="Z55" i="18"/>
  <c r="S37" i="18"/>
  <c r="W37" i="23" s="1"/>
  <c r="AD9" i="18"/>
  <c r="Z7" i="18"/>
  <c r="AB22" i="18"/>
  <c r="Z98" i="18"/>
  <c r="AB92" i="18"/>
  <c r="W192" i="18"/>
  <c r="Z192" i="18"/>
  <c r="AD127" i="18"/>
  <c r="AP143" i="18"/>
  <c r="AB131" i="18"/>
  <c r="S127" i="18"/>
  <c r="W127" i="23" s="1"/>
  <c r="AD129" i="18"/>
  <c r="S115" i="18"/>
  <c r="W115" i="23" s="1"/>
  <c r="AB130" i="18"/>
  <c r="AB124" i="18"/>
  <c r="AB120" i="18"/>
  <c r="S75" i="18"/>
  <c r="W75" i="23" s="1"/>
  <c r="AB67" i="18"/>
  <c r="AB72" i="18"/>
  <c r="AB55" i="18"/>
  <c r="AB47" i="18"/>
  <c r="AP144" i="18"/>
  <c r="AP136" i="18"/>
  <c r="AP145" i="18"/>
  <c r="AQ134" i="18"/>
  <c r="AS5" i="18"/>
  <c r="AD99" i="18"/>
  <c r="AD59" i="18"/>
  <c r="S57" i="18"/>
  <c r="W57" i="23" s="1"/>
  <c r="S47" i="18"/>
  <c r="W47" i="23" s="1"/>
  <c r="AR137" i="18"/>
  <c r="AR143" i="18"/>
  <c r="AQ146" i="18"/>
  <c r="AB75" i="18"/>
  <c r="Z47" i="18"/>
  <c r="AD21" i="18"/>
  <c r="S13" i="18"/>
  <c r="W13" i="23" s="1"/>
  <c r="AB41" i="18"/>
  <c r="AP134" i="18"/>
  <c r="AB37" i="18"/>
  <c r="AB29" i="18"/>
  <c r="AD25" i="18"/>
  <c r="AS12" i="18"/>
  <c r="AQ136" i="18"/>
  <c r="S5" i="18"/>
  <c r="W5" i="23" s="1"/>
  <c r="AB10" i="18"/>
  <c r="AD48" i="18"/>
  <c r="Z33" i="18"/>
  <c r="AD17" i="18"/>
  <c r="AD14" i="18"/>
  <c r="AB13" i="18"/>
  <c r="AB34" i="18"/>
  <c r="AB115" i="18"/>
  <c r="AD115" i="18"/>
  <c r="V192" i="18"/>
  <c r="Y192" i="18"/>
  <c r="S34" i="18"/>
  <c r="W34" i="23" s="1"/>
  <c r="AD124" i="18"/>
  <c r="AS109" i="18"/>
  <c r="AD98" i="18"/>
  <c r="Z72" i="18"/>
  <c r="AD75" i="18"/>
  <c r="AS90" i="18"/>
  <c r="AD92" i="18"/>
  <c r="AB88" i="18"/>
  <c r="AD67" i="18"/>
  <c r="AD47" i="18"/>
  <c r="P137" i="18"/>
  <c r="S7" i="18"/>
  <c r="W7" i="23" s="1"/>
  <c r="S49" i="18"/>
  <c r="W49" i="23" s="1"/>
  <c r="AD30" i="18"/>
  <c r="Z14" i="18"/>
  <c r="Z10" i="18"/>
  <c r="AD102" i="18"/>
  <c r="Z71" i="18"/>
  <c r="AD10" i="18"/>
  <c r="AR145" i="18"/>
  <c r="Q137" i="18"/>
  <c r="S30" i="18"/>
  <c r="W30" i="23" s="1"/>
  <c r="AP146" i="18"/>
  <c r="Z57" i="18"/>
  <c r="AQ137" i="18"/>
  <c r="AQ143" i="18"/>
  <c r="AB33" i="18"/>
  <c r="AB21" i="18"/>
  <c r="AD29" i="18"/>
  <c r="Z21" i="18"/>
  <c r="Z13" i="18"/>
  <c r="AQ145" i="18"/>
  <c r="AS145" i="18"/>
  <c r="Z49" i="18"/>
  <c r="S10" i="18"/>
  <c r="W10" i="23" s="1"/>
  <c r="AB18" i="18"/>
  <c r="AB14" i="18"/>
  <c r="AS143" i="18"/>
  <c r="AS136" i="18"/>
  <c r="AR141" i="18"/>
  <c r="AS138" i="18"/>
  <c r="T136" i="22"/>
  <c r="T148" i="22"/>
  <c r="AC136" i="22"/>
  <c r="E55" i="17"/>
  <c r="I52" i="17"/>
  <c r="I53" i="17" s="1"/>
  <c r="J52" i="17"/>
  <c r="J53" i="17"/>
  <c r="J54" i="17"/>
  <c r="J55" i="17" s="1"/>
  <c r="J66" i="17"/>
  <c r="J69" i="17"/>
  <c r="H43" i="17"/>
  <c r="H44" i="17"/>
  <c r="H41" i="17"/>
  <c r="H42" i="17"/>
  <c r="AK139" i="22"/>
  <c r="AK136" i="22"/>
  <c r="AK141" i="22"/>
  <c r="T133" i="22"/>
  <c r="AK142" i="22"/>
  <c r="M136" i="22"/>
  <c r="M148" i="22" s="1"/>
  <c r="AL140" i="22"/>
  <c r="AK140" i="22"/>
  <c r="AI141" i="22"/>
  <c r="AL141" i="22"/>
  <c r="Q136" i="22"/>
  <c r="Q148" i="22"/>
  <c r="AI142" i="22"/>
  <c r="AL142" i="22"/>
  <c r="AI134" i="22"/>
  <c r="AL136" i="22"/>
  <c r="AI139" i="22"/>
  <c r="AL139" i="22"/>
  <c r="AQ141" i="18"/>
  <c r="AP141" i="18"/>
  <c r="AS137" i="18"/>
  <c r="AS146" i="18"/>
  <c r="AS134" i="18"/>
  <c r="AS139" i="18"/>
  <c r="AS144" i="18"/>
  <c r="AS141" i="18"/>
  <c r="D468" i="1"/>
  <c r="H468" i="1"/>
  <c r="H477" i="1"/>
  <c r="H476" i="1"/>
  <c r="H475" i="1"/>
  <c r="H474" i="1"/>
  <c r="H473" i="1"/>
  <c r="H472" i="1"/>
  <c r="AX737" i="1"/>
  <c r="AW737" i="1"/>
  <c r="AV737" i="1"/>
  <c r="AU737" i="1"/>
  <c r="AT737" i="1"/>
  <c r="AS737" i="1"/>
  <c r="AR737" i="1"/>
  <c r="AQ737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G737" i="1"/>
  <c r="F737" i="1"/>
  <c r="E737" i="1"/>
  <c r="D737" i="1"/>
  <c r="C737" i="1"/>
  <c r="B737" i="1"/>
  <c r="AX736" i="1"/>
  <c r="AW736" i="1"/>
  <c r="AW740" i="1"/>
  <c r="AV736" i="1"/>
  <c r="AV741" i="1"/>
  <c r="AU736" i="1"/>
  <c r="AU742" i="1"/>
  <c r="AT736" i="1"/>
  <c r="AS736" i="1"/>
  <c r="AS740" i="1"/>
  <c r="AR736" i="1"/>
  <c r="AR741" i="1"/>
  <c r="AQ736" i="1"/>
  <c r="AQ742" i="1"/>
  <c r="AP736" i="1"/>
  <c r="AP740" i="1"/>
  <c r="AO736" i="1"/>
  <c r="AO740" i="1"/>
  <c r="AN736" i="1"/>
  <c r="AN741" i="1"/>
  <c r="AM736" i="1"/>
  <c r="AM742" i="1"/>
  <c r="AL736" i="1"/>
  <c r="AK736" i="1"/>
  <c r="AK740" i="1"/>
  <c r="AJ736" i="1"/>
  <c r="AJ741" i="1"/>
  <c r="AI736" i="1"/>
  <c r="AI742" i="1"/>
  <c r="AH736" i="1"/>
  <c r="AG736" i="1"/>
  <c r="AG740" i="1"/>
  <c r="AF736" i="1"/>
  <c r="AF741" i="1"/>
  <c r="AE736" i="1"/>
  <c r="AE742" i="1"/>
  <c r="AD736" i="1"/>
  <c r="AC736" i="1"/>
  <c r="AC740" i="1"/>
  <c r="AB736" i="1"/>
  <c r="AB741" i="1"/>
  <c r="AA736" i="1"/>
  <c r="AA742" i="1"/>
  <c r="Z736" i="1"/>
  <c r="Y736" i="1"/>
  <c r="Y740" i="1"/>
  <c r="X736" i="1"/>
  <c r="X741" i="1"/>
  <c r="W736" i="1"/>
  <c r="W742" i="1"/>
  <c r="V736" i="1"/>
  <c r="U736" i="1"/>
  <c r="U740" i="1"/>
  <c r="T736" i="1"/>
  <c r="T741" i="1"/>
  <c r="S736" i="1"/>
  <c r="S742" i="1"/>
  <c r="R736" i="1"/>
  <c r="Q736" i="1"/>
  <c r="Q740" i="1"/>
  <c r="P736" i="1"/>
  <c r="P741" i="1"/>
  <c r="O736" i="1"/>
  <c r="O742" i="1"/>
  <c r="N736" i="1"/>
  <c r="M736" i="1"/>
  <c r="M740" i="1"/>
  <c r="L736" i="1"/>
  <c r="L741" i="1"/>
  <c r="K736" i="1"/>
  <c r="K742" i="1"/>
  <c r="J736" i="1"/>
  <c r="I736" i="1"/>
  <c r="I740" i="1"/>
  <c r="G736" i="1"/>
  <c r="G742" i="1"/>
  <c r="F736" i="1"/>
  <c r="E736" i="1"/>
  <c r="D736" i="1"/>
  <c r="C736" i="1"/>
  <c r="B73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G726" i="1"/>
  <c r="F726" i="1"/>
  <c r="E726" i="1"/>
  <c r="D726" i="1"/>
  <c r="C726" i="1"/>
  <c r="B726" i="1"/>
  <c r="AX725" i="1"/>
  <c r="AW725" i="1"/>
  <c r="AV725" i="1"/>
  <c r="AU725" i="1"/>
  <c r="AT725" i="1"/>
  <c r="AS725" i="1"/>
  <c r="AR725" i="1"/>
  <c r="AQ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G725" i="1"/>
  <c r="F725" i="1"/>
  <c r="E725" i="1"/>
  <c r="D725" i="1"/>
  <c r="C725" i="1"/>
  <c r="B725" i="1"/>
  <c r="AX724" i="1"/>
  <c r="AW724" i="1"/>
  <c r="AV724" i="1"/>
  <c r="AU724" i="1"/>
  <c r="AT724" i="1"/>
  <c r="AS724" i="1"/>
  <c r="AR724" i="1"/>
  <c r="AQ724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G724" i="1"/>
  <c r="F724" i="1"/>
  <c r="E724" i="1"/>
  <c r="D724" i="1"/>
  <c r="C724" i="1"/>
  <c r="B724" i="1"/>
  <c r="AX723" i="1"/>
  <c r="AW723" i="1"/>
  <c r="AV723" i="1"/>
  <c r="AU723" i="1"/>
  <c r="AT723" i="1"/>
  <c r="AS723" i="1"/>
  <c r="AR723" i="1"/>
  <c r="AQ723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G723" i="1"/>
  <c r="F723" i="1"/>
  <c r="E723" i="1"/>
  <c r="D723" i="1"/>
  <c r="C723" i="1"/>
  <c r="B723" i="1"/>
  <c r="AX722" i="1"/>
  <c r="AW722" i="1"/>
  <c r="AV722" i="1"/>
  <c r="AU722" i="1"/>
  <c r="AT722" i="1"/>
  <c r="AS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G722" i="1"/>
  <c r="F722" i="1"/>
  <c r="E722" i="1"/>
  <c r="D722" i="1"/>
  <c r="C722" i="1"/>
  <c r="B722" i="1"/>
  <c r="AX721" i="1"/>
  <c r="AW721" i="1"/>
  <c r="AV721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G721" i="1"/>
  <c r="F721" i="1"/>
  <c r="E721" i="1"/>
  <c r="D721" i="1"/>
  <c r="C721" i="1"/>
  <c r="B721" i="1"/>
  <c r="AX720" i="1"/>
  <c r="AW720" i="1"/>
  <c r="AV720" i="1"/>
  <c r="AU720" i="1"/>
  <c r="AT720" i="1"/>
  <c r="AS720" i="1"/>
  <c r="AR720" i="1"/>
  <c r="AQ720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G720" i="1"/>
  <c r="F720" i="1"/>
  <c r="E720" i="1"/>
  <c r="D720" i="1"/>
  <c r="C720" i="1"/>
  <c r="B720" i="1"/>
  <c r="AX719" i="1"/>
  <c r="AW719" i="1"/>
  <c r="AV719" i="1"/>
  <c r="AU719" i="1"/>
  <c r="AT719" i="1"/>
  <c r="AS719" i="1"/>
  <c r="AR719" i="1"/>
  <c r="AQ719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G719" i="1"/>
  <c r="F719" i="1"/>
  <c r="E719" i="1"/>
  <c r="D719" i="1"/>
  <c r="C719" i="1"/>
  <c r="B719" i="1"/>
  <c r="AX718" i="1"/>
  <c r="AW718" i="1"/>
  <c r="AW729" i="1"/>
  <c r="AV718" i="1"/>
  <c r="AU718" i="1"/>
  <c r="AU730" i="1"/>
  <c r="AT718" i="1"/>
  <c r="AS718" i="1"/>
  <c r="AR718" i="1"/>
  <c r="AQ718" i="1"/>
  <c r="AQ732" i="1"/>
  <c r="AP718" i="1"/>
  <c r="AP728" i="1"/>
  <c r="AO718" i="1"/>
  <c r="AO731" i="1"/>
  <c r="AN718" i="1"/>
  <c r="AM718" i="1"/>
  <c r="AM730" i="1"/>
  <c r="AL718" i="1"/>
  <c r="AK718" i="1"/>
  <c r="AJ718" i="1"/>
  <c r="AI718" i="1"/>
  <c r="AI732" i="1"/>
  <c r="AH718" i="1"/>
  <c r="AG718" i="1"/>
  <c r="AG729" i="1"/>
  <c r="AF718" i="1"/>
  <c r="AE718" i="1"/>
  <c r="AE730" i="1"/>
  <c r="AD718" i="1"/>
  <c r="AC718" i="1"/>
  <c r="AB718" i="1"/>
  <c r="AA718" i="1"/>
  <c r="AA732" i="1"/>
  <c r="Z718" i="1"/>
  <c r="Y718" i="1"/>
  <c r="X718" i="1"/>
  <c r="W718" i="1"/>
  <c r="W730" i="1"/>
  <c r="V718" i="1"/>
  <c r="U718" i="1"/>
  <c r="T718" i="1"/>
  <c r="S718" i="1"/>
  <c r="S732" i="1"/>
  <c r="R718" i="1"/>
  <c r="Q718" i="1"/>
  <c r="Q729" i="1"/>
  <c r="P718" i="1"/>
  <c r="O718" i="1"/>
  <c r="O730" i="1"/>
  <c r="N718" i="1"/>
  <c r="M718" i="1"/>
  <c r="L718" i="1"/>
  <c r="K718" i="1"/>
  <c r="K732" i="1"/>
  <c r="J718" i="1"/>
  <c r="I718" i="1"/>
  <c r="G718" i="1"/>
  <c r="G730" i="1"/>
  <c r="F718" i="1"/>
  <c r="F732" i="1"/>
  <c r="E718" i="1"/>
  <c r="D718" i="1"/>
  <c r="C718" i="1"/>
  <c r="B718" i="1"/>
  <c r="AX709" i="1"/>
  <c r="AW709" i="1"/>
  <c r="AV709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G709" i="1"/>
  <c r="F709" i="1"/>
  <c r="E709" i="1"/>
  <c r="D709" i="1"/>
  <c r="C709" i="1"/>
  <c r="B709" i="1"/>
  <c r="AX708" i="1"/>
  <c r="AW708" i="1"/>
  <c r="AV708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G708" i="1"/>
  <c r="F708" i="1"/>
  <c r="E708" i="1"/>
  <c r="D708" i="1"/>
  <c r="C708" i="1"/>
  <c r="B708" i="1"/>
  <c r="AX707" i="1"/>
  <c r="AW707" i="1"/>
  <c r="AV707" i="1"/>
  <c r="AU707" i="1"/>
  <c r="AT707" i="1"/>
  <c r="AS707" i="1"/>
  <c r="AR707" i="1"/>
  <c r="AQ707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G707" i="1"/>
  <c r="F707" i="1"/>
  <c r="E707" i="1"/>
  <c r="D707" i="1"/>
  <c r="C707" i="1"/>
  <c r="B707" i="1"/>
  <c r="AX706" i="1"/>
  <c r="AW706" i="1"/>
  <c r="AV706" i="1"/>
  <c r="AU706" i="1"/>
  <c r="AT706" i="1"/>
  <c r="AS706" i="1"/>
  <c r="AR706" i="1"/>
  <c r="AQ706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G706" i="1"/>
  <c r="F706" i="1"/>
  <c r="E706" i="1"/>
  <c r="D706" i="1"/>
  <c r="C706" i="1"/>
  <c r="B706" i="1"/>
  <c r="AX705" i="1"/>
  <c r="AW705" i="1"/>
  <c r="AV705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G705" i="1"/>
  <c r="F705" i="1"/>
  <c r="E705" i="1"/>
  <c r="D705" i="1"/>
  <c r="C705" i="1"/>
  <c r="B705" i="1"/>
  <c r="AX704" i="1"/>
  <c r="AW704" i="1"/>
  <c r="AV704" i="1"/>
  <c r="AU704" i="1"/>
  <c r="AT704" i="1"/>
  <c r="AS704" i="1"/>
  <c r="AR704" i="1"/>
  <c r="AQ704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G704" i="1"/>
  <c r="F704" i="1"/>
  <c r="E704" i="1"/>
  <c r="D704" i="1"/>
  <c r="C704" i="1"/>
  <c r="B704" i="1"/>
  <c r="AX703" i="1"/>
  <c r="AW703" i="1"/>
  <c r="AV703" i="1"/>
  <c r="AU703" i="1"/>
  <c r="AT703" i="1"/>
  <c r="AS703" i="1"/>
  <c r="AR703" i="1"/>
  <c r="AQ703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G703" i="1"/>
  <c r="F703" i="1"/>
  <c r="E703" i="1"/>
  <c r="D703" i="1"/>
  <c r="C703" i="1"/>
  <c r="B703" i="1"/>
  <c r="AX702" i="1"/>
  <c r="AW702" i="1"/>
  <c r="AW712" i="1"/>
  <c r="AV702" i="1"/>
  <c r="AU702" i="1"/>
  <c r="AU713" i="1"/>
  <c r="AT702" i="1"/>
  <c r="AT715" i="1"/>
  <c r="AS702" i="1"/>
  <c r="AR702" i="1"/>
  <c r="AQ702" i="1"/>
  <c r="AP702" i="1"/>
  <c r="AO702" i="1"/>
  <c r="AN702" i="1"/>
  <c r="AM702" i="1"/>
  <c r="AL702" i="1"/>
  <c r="AL710" i="1"/>
  <c r="AK702" i="1"/>
  <c r="AJ702" i="1"/>
  <c r="AI702" i="1"/>
  <c r="AH702" i="1"/>
  <c r="AG702" i="1"/>
  <c r="AG712" i="1"/>
  <c r="AF702" i="1"/>
  <c r="AE702" i="1"/>
  <c r="AD702" i="1"/>
  <c r="AD711" i="1"/>
  <c r="AC702" i="1"/>
  <c r="AC714" i="1"/>
  <c r="AB702" i="1"/>
  <c r="AA702" i="1"/>
  <c r="Z702" i="1"/>
  <c r="Z713" i="1"/>
  <c r="Y702" i="1"/>
  <c r="X702" i="1"/>
  <c r="W702" i="1"/>
  <c r="W714" i="1"/>
  <c r="V702" i="1"/>
  <c r="V715" i="1"/>
  <c r="U702" i="1"/>
  <c r="T702" i="1"/>
  <c r="S702" i="1"/>
  <c r="R702" i="1"/>
  <c r="Q702" i="1"/>
  <c r="Q710" i="1"/>
  <c r="P702" i="1"/>
  <c r="O702" i="1"/>
  <c r="N702" i="1"/>
  <c r="M702" i="1"/>
  <c r="L702" i="1"/>
  <c r="K702" i="1"/>
  <c r="K710" i="1"/>
  <c r="J702" i="1"/>
  <c r="I702" i="1"/>
  <c r="I711" i="1"/>
  <c r="G702" i="1"/>
  <c r="F702" i="1"/>
  <c r="F715" i="1"/>
  <c r="E702" i="1"/>
  <c r="D702" i="1"/>
  <c r="C702" i="1"/>
  <c r="B702" i="1"/>
  <c r="AX693" i="1"/>
  <c r="AW693" i="1"/>
  <c r="AV693" i="1"/>
  <c r="AU693" i="1"/>
  <c r="AT693" i="1"/>
  <c r="AS693" i="1"/>
  <c r="AR693" i="1"/>
  <c r="AQ693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G693" i="1"/>
  <c r="F693" i="1"/>
  <c r="E693" i="1"/>
  <c r="D693" i="1"/>
  <c r="C693" i="1"/>
  <c r="B693" i="1"/>
  <c r="AX692" i="1"/>
  <c r="AW692" i="1"/>
  <c r="AV692" i="1"/>
  <c r="AU692" i="1"/>
  <c r="AT692" i="1"/>
  <c r="AS692" i="1"/>
  <c r="AR692" i="1"/>
  <c r="AQ692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G692" i="1"/>
  <c r="F692" i="1"/>
  <c r="E692" i="1"/>
  <c r="D692" i="1"/>
  <c r="C692" i="1"/>
  <c r="B692" i="1"/>
  <c r="AX691" i="1"/>
  <c r="AX697" i="1"/>
  <c r="AW691" i="1"/>
  <c r="AW696" i="1"/>
  <c r="AV691" i="1"/>
  <c r="AV698" i="1"/>
  <c r="AU691" i="1"/>
  <c r="AU694" i="1"/>
  <c r="AT691" i="1"/>
  <c r="AS691" i="1"/>
  <c r="AR691" i="1"/>
  <c r="AR695" i="1"/>
  <c r="AR490" i="1"/>
  <c r="AQ691" i="1"/>
  <c r="AQ695" i="1"/>
  <c r="AP691" i="1"/>
  <c r="AO691" i="1"/>
  <c r="AO697" i="1"/>
  <c r="AN691" i="1"/>
  <c r="AN697" i="1"/>
  <c r="AM691" i="1"/>
  <c r="AL691" i="1"/>
  <c r="AK691" i="1"/>
  <c r="AK694" i="1"/>
  <c r="AJ691" i="1"/>
  <c r="AJ698" i="1"/>
  <c r="AI691" i="1"/>
  <c r="AI699" i="1"/>
  <c r="AH691" i="1"/>
  <c r="AH695" i="1"/>
  <c r="AG691" i="1"/>
  <c r="AG698" i="1"/>
  <c r="AF691" i="1"/>
  <c r="AF695" i="1"/>
  <c r="AE691" i="1"/>
  <c r="AE696" i="1"/>
  <c r="AD691" i="1"/>
  <c r="AC691" i="1"/>
  <c r="AB691" i="1"/>
  <c r="AB697" i="1"/>
  <c r="AA691" i="1"/>
  <c r="AA698" i="1"/>
  <c r="Z691" i="1"/>
  <c r="Y691" i="1"/>
  <c r="Y697" i="1"/>
  <c r="X691" i="1"/>
  <c r="X694" i="1"/>
  <c r="W691" i="1"/>
  <c r="V691" i="1"/>
  <c r="U691" i="1"/>
  <c r="U694" i="1"/>
  <c r="T691" i="1"/>
  <c r="S691" i="1"/>
  <c r="S696" i="1"/>
  <c r="R691" i="1"/>
  <c r="Q691" i="1"/>
  <c r="Q698" i="1"/>
  <c r="P691" i="1"/>
  <c r="P698" i="1"/>
  <c r="O691" i="1"/>
  <c r="O698" i="1"/>
  <c r="N691" i="1"/>
  <c r="M691" i="1"/>
  <c r="L691" i="1"/>
  <c r="L695" i="1"/>
  <c r="L490" i="1"/>
  <c r="K691" i="1"/>
  <c r="J691" i="1"/>
  <c r="J696" i="1"/>
  <c r="I691" i="1"/>
  <c r="I697" i="1"/>
  <c r="G691" i="1"/>
  <c r="G695" i="1"/>
  <c r="F691" i="1"/>
  <c r="E691" i="1"/>
  <c r="D691" i="1"/>
  <c r="C691" i="1"/>
  <c r="B691" i="1"/>
  <c r="R685" i="1"/>
  <c r="AX682" i="1"/>
  <c r="AW682" i="1"/>
  <c r="AV682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G682" i="1"/>
  <c r="F682" i="1"/>
  <c r="E682" i="1"/>
  <c r="D682" i="1"/>
  <c r="C682" i="1"/>
  <c r="B682" i="1"/>
  <c r="AX681" i="1"/>
  <c r="AW681" i="1"/>
  <c r="AV681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G681" i="1"/>
  <c r="F681" i="1"/>
  <c r="E681" i="1"/>
  <c r="D681" i="1"/>
  <c r="C681" i="1"/>
  <c r="B681" i="1"/>
  <c r="AX680" i="1"/>
  <c r="AW680" i="1"/>
  <c r="AV680" i="1"/>
  <c r="AU680" i="1"/>
  <c r="AT680" i="1"/>
  <c r="AS680" i="1"/>
  <c r="AR680" i="1"/>
  <c r="AQ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G680" i="1"/>
  <c r="F680" i="1"/>
  <c r="E680" i="1"/>
  <c r="D680" i="1"/>
  <c r="C680" i="1"/>
  <c r="B680" i="1"/>
  <c r="AX679" i="1"/>
  <c r="AX688" i="1"/>
  <c r="AW679" i="1"/>
  <c r="AW683" i="1"/>
  <c r="AV679" i="1"/>
  <c r="AV687" i="1"/>
  <c r="AU679" i="1"/>
  <c r="AU688" i="1"/>
  <c r="AT679" i="1"/>
  <c r="AT688" i="1"/>
  <c r="AS679" i="1"/>
  <c r="AR679" i="1"/>
  <c r="AR684" i="1"/>
  <c r="AQ679" i="1"/>
  <c r="AP679" i="1"/>
  <c r="AP688" i="1"/>
  <c r="AO679" i="1"/>
  <c r="AO686" i="1"/>
  <c r="AN679" i="1"/>
  <c r="AM679" i="1"/>
  <c r="AL679" i="1"/>
  <c r="AL688" i="1"/>
  <c r="AK679" i="1"/>
  <c r="AK687" i="1"/>
  <c r="AJ679" i="1"/>
  <c r="AJ683" i="1"/>
  <c r="AI679" i="1"/>
  <c r="AI684" i="1"/>
  <c r="AI489" i="1"/>
  <c r="AH679" i="1"/>
  <c r="AH688" i="1"/>
  <c r="AG679" i="1"/>
  <c r="AG686" i="1"/>
  <c r="AF679" i="1"/>
  <c r="AE679" i="1"/>
  <c r="AE685" i="1"/>
  <c r="AD679" i="1"/>
  <c r="AD688" i="1"/>
  <c r="AC679" i="1"/>
  <c r="AC686" i="1"/>
  <c r="AB679" i="1"/>
  <c r="AB687" i="1"/>
  <c r="AA679" i="1"/>
  <c r="Z679" i="1"/>
  <c r="Z688" i="1"/>
  <c r="Y679" i="1"/>
  <c r="Y683" i="1"/>
  <c r="X679" i="1"/>
  <c r="X688" i="1"/>
  <c r="W679" i="1"/>
  <c r="V679" i="1"/>
  <c r="V688" i="1"/>
  <c r="U679" i="1"/>
  <c r="U686" i="1"/>
  <c r="T679" i="1"/>
  <c r="S679" i="1"/>
  <c r="R679" i="1"/>
  <c r="R688" i="1"/>
  <c r="Q679" i="1"/>
  <c r="Q683" i="1"/>
  <c r="P679" i="1"/>
  <c r="P687" i="1"/>
  <c r="O679" i="1"/>
  <c r="N679" i="1"/>
  <c r="N688" i="1"/>
  <c r="M679" i="1"/>
  <c r="L679" i="1"/>
  <c r="L684" i="1"/>
  <c r="K679" i="1"/>
  <c r="J679" i="1"/>
  <c r="J688" i="1"/>
  <c r="I679" i="1"/>
  <c r="I686" i="1"/>
  <c r="G679" i="1"/>
  <c r="F679" i="1"/>
  <c r="E679" i="1"/>
  <c r="D679" i="1"/>
  <c r="C679" i="1"/>
  <c r="B679" i="1"/>
  <c r="AX670" i="1"/>
  <c r="AW670" i="1"/>
  <c r="AV670" i="1"/>
  <c r="AU670" i="1"/>
  <c r="AT670" i="1"/>
  <c r="AS670" i="1"/>
  <c r="AR670" i="1"/>
  <c r="AQ670" i="1"/>
  <c r="AP670" i="1"/>
  <c r="AO670" i="1"/>
  <c r="AN670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G670" i="1"/>
  <c r="F670" i="1"/>
  <c r="E670" i="1"/>
  <c r="D670" i="1"/>
  <c r="C670" i="1"/>
  <c r="B670" i="1"/>
  <c r="AX669" i="1"/>
  <c r="AW669" i="1"/>
  <c r="AV669" i="1"/>
  <c r="AU669" i="1"/>
  <c r="AT669" i="1"/>
  <c r="AS669" i="1"/>
  <c r="AR669" i="1"/>
  <c r="AQ669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G669" i="1"/>
  <c r="F669" i="1"/>
  <c r="E669" i="1"/>
  <c r="D669" i="1"/>
  <c r="C669" i="1"/>
  <c r="B669" i="1"/>
  <c r="AX668" i="1"/>
  <c r="AW668" i="1"/>
  <c r="AV668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G668" i="1"/>
  <c r="F668" i="1"/>
  <c r="E668" i="1"/>
  <c r="D668" i="1"/>
  <c r="C668" i="1"/>
  <c r="B668" i="1"/>
  <c r="AX667" i="1"/>
  <c r="AW667" i="1"/>
  <c r="AV667" i="1"/>
  <c r="AU667" i="1"/>
  <c r="AT667" i="1"/>
  <c r="AS667" i="1"/>
  <c r="AR667" i="1"/>
  <c r="AQ667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G667" i="1"/>
  <c r="F667" i="1"/>
  <c r="E667" i="1"/>
  <c r="D667" i="1"/>
  <c r="C667" i="1"/>
  <c r="B667" i="1"/>
  <c r="AX666" i="1"/>
  <c r="AW666" i="1"/>
  <c r="AV666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G666" i="1"/>
  <c r="F666" i="1"/>
  <c r="E666" i="1"/>
  <c r="D666" i="1"/>
  <c r="C666" i="1"/>
  <c r="B666" i="1"/>
  <c r="AX665" i="1"/>
  <c r="AW665" i="1"/>
  <c r="AV665" i="1"/>
  <c r="AU665" i="1"/>
  <c r="AT665" i="1"/>
  <c r="AS665" i="1"/>
  <c r="AR665" i="1"/>
  <c r="AQ665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G665" i="1"/>
  <c r="F665" i="1"/>
  <c r="E665" i="1"/>
  <c r="D665" i="1"/>
  <c r="C665" i="1"/>
  <c r="B665" i="1"/>
  <c r="AX664" i="1"/>
  <c r="AW664" i="1"/>
  <c r="AV664" i="1"/>
  <c r="AU664" i="1"/>
  <c r="AT664" i="1"/>
  <c r="AS664" i="1"/>
  <c r="AR664" i="1"/>
  <c r="AQ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G664" i="1"/>
  <c r="F664" i="1"/>
  <c r="E664" i="1"/>
  <c r="D664" i="1"/>
  <c r="C664" i="1"/>
  <c r="B664" i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G663" i="1"/>
  <c r="F663" i="1"/>
  <c r="E663" i="1"/>
  <c r="D663" i="1"/>
  <c r="C663" i="1"/>
  <c r="B663" i="1"/>
  <c r="AX662" i="1"/>
  <c r="AW662" i="1"/>
  <c r="AV662" i="1"/>
  <c r="AU662" i="1"/>
  <c r="AT662" i="1"/>
  <c r="AS662" i="1"/>
  <c r="AR662" i="1"/>
  <c r="AQ662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G662" i="1"/>
  <c r="F662" i="1"/>
  <c r="E662" i="1"/>
  <c r="D662" i="1"/>
  <c r="C662" i="1"/>
  <c r="B662" i="1"/>
  <c r="AX661" i="1"/>
  <c r="AW661" i="1"/>
  <c r="AV661" i="1"/>
  <c r="AU661" i="1"/>
  <c r="AT661" i="1"/>
  <c r="AS661" i="1"/>
  <c r="AR661" i="1"/>
  <c r="AQ661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G661" i="1"/>
  <c r="F661" i="1"/>
  <c r="E661" i="1"/>
  <c r="D661" i="1"/>
  <c r="C661" i="1"/>
  <c r="B661" i="1"/>
  <c r="AX660" i="1"/>
  <c r="AW660" i="1"/>
  <c r="AV660" i="1"/>
  <c r="AU660" i="1"/>
  <c r="AT660" i="1"/>
  <c r="AS660" i="1"/>
  <c r="AR660" i="1"/>
  <c r="AQ660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G660" i="1"/>
  <c r="F660" i="1"/>
  <c r="E660" i="1"/>
  <c r="D660" i="1"/>
  <c r="C660" i="1"/>
  <c r="B660" i="1"/>
  <c r="AX651" i="1"/>
  <c r="AW651" i="1"/>
  <c r="AV651" i="1"/>
  <c r="AU651" i="1"/>
  <c r="AT651" i="1"/>
  <c r="AS651" i="1"/>
  <c r="AR651" i="1"/>
  <c r="AQ651" i="1"/>
  <c r="AP651" i="1"/>
  <c r="AO651" i="1"/>
  <c r="AN651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G651" i="1"/>
  <c r="F651" i="1"/>
  <c r="E651" i="1"/>
  <c r="D651" i="1"/>
  <c r="C651" i="1"/>
  <c r="B651" i="1"/>
  <c r="AX650" i="1"/>
  <c r="AW650" i="1"/>
  <c r="AV650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G650" i="1"/>
  <c r="F650" i="1"/>
  <c r="E650" i="1"/>
  <c r="D650" i="1"/>
  <c r="C650" i="1"/>
  <c r="B650" i="1"/>
  <c r="AX649" i="1"/>
  <c r="AW649" i="1"/>
  <c r="AV649" i="1"/>
  <c r="AU649" i="1"/>
  <c r="AT649" i="1"/>
  <c r="AS649" i="1"/>
  <c r="AR649" i="1"/>
  <c r="AQ649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G649" i="1"/>
  <c r="F649" i="1"/>
  <c r="E649" i="1"/>
  <c r="D649" i="1"/>
  <c r="C649" i="1"/>
  <c r="B649" i="1"/>
  <c r="AX648" i="1"/>
  <c r="AW648" i="1"/>
  <c r="AV648" i="1"/>
  <c r="AU648" i="1"/>
  <c r="AT648" i="1"/>
  <c r="AS648" i="1"/>
  <c r="AR648" i="1"/>
  <c r="AQ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G648" i="1"/>
  <c r="F648" i="1"/>
  <c r="E648" i="1"/>
  <c r="D648" i="1"/>
  <c r="C648" i="1"/>
  <c r="B648" i="1"/>
  <c r="AX647" i="1"/>
  <c r="AW647" i="1"/>
  <c r="AV647" i="1"/>
  <c r="AU647" i="1"/>
  <c r="AT647" i="1"/>
  <c r="AS647" i="1"/>
  <c r="AR647" i="1"/>
  <c r="AQ647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G647" i="1"/>
  <c r="F647" i="1"/>
  <c r="E647" i="1"/>
  <c r="D647" i="1"/>
  <c r="C647" i="1"/>
  <c r="B647" i="1"/>
  <c r="AX646" i="1"/>
  <c r="AW646" i="1"/>
  <c r="AV646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G646" i="1"/>
  <c r="F646" i="1"/>
  <c r="E646" i="1"/>
  <c r="D646" i="1"/>
  <c r="C646" i="1"/>
  <c r="B646" i="1"/>
  <c r="AX645" i="1"/>
  <c r="AW645" i="1"/>
  <c r="AV645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G645" i="1"/>
  <c r="F645" i="1"/>
  <c r="E645" i="1"/>
  <c r="D645" i="1"/>
  <c r="C645" i="1"/>
  <c r="B645" i="1"/>
  <c r="AX644" i="1"/>
  <c r="AW644" i="1"/>
  <c r="AV644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G644" i="1"/>
  <c r="F644" i="1"/>
  <c r="E644" i="1"/>
  <c r="D644" i="1"/>
  <c r="C644" i="1"/>
  <c r="B644" i="1"/>
  <c r="AX643" i="1"/>
  <c r="AW643" i="1"/>
  <c r="AV643" i="1"/>
  <c r="AU643" i="1"/>
  <c r="AT643" i="1"/>
  <c r="AS643" i="1"/>
  <c r="AR643" i="1"/>
  <c r="AQ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G643" i="1"/>
  <c r="F643" i="1"/>
  <c r="E643" i="1"/>
  <c r="D643" i="1"/>
  <c r="C643" i="1"/>
  <c r="B643" i="1"/>
  <c r="AX642" i="1"/>
  <c r="AX653" i="1"/>
  <c r="AW642" i="1"/>
  <c r="AW653" i="1"/>
  <c r="AV642" i="1"/>
  <c r="AU642" i="1"/>
  <c r="AU656" i="1"/>
  <c r="AT642" i="1"/>
  <c r="AT655" i="1"/>
  <c r="AS642" i="1"/>
  <c r="AS653" i="1"/>
  <c r="AR642" i="1"/>
  <c r="AQ642" i="1"/>
  <c r="AQ654" i="1"/>
  <c r="AP642" i="1"/>
  <c r="AP656" i="1"/>
  <c r="AO642" i="1"/>
  <c r="AO653" i="1"/>
  <c r="AN642" i="1"/>
  <c r="AM642" i="1"/>
  <c r="AM657" i="1"/>
  <c r="AL642" i="1"/>
  <c r="AL656" i="1"/>
  <c r="AK642" i="1"/>
  <c r="AK657" i="1"/>
  <c r="AJ642" i="1"/>
  <c r="AI642" i="1"/>
  <c r="AI657" i="1"/>
  <c r="AH642" i="1"/>
  <c r="AH656" i="1"/>
  <c r="AG642" i="1"/>
  <c r="AG653" i="1"/>
  <c r="AF642" i="1"/>
  <c r="AE642" i="1"/>
  <c r="AE656" i="1"/>
  <c r="AD642" i="1"/>
  <c r="AD656" i="1"/>
  <c r="AC642" i="1"/>
  <c r="AC653" i="1"/>
  <c r="AB642" i="1"/>
  <c r="AA642" i="1"/>
  <c r="AA657" i="1"/>
  <c r="Z642" i="1"/>
  <c r="Z653" i="1"/>
  <c r="Y642" i="1"/>
  <c r="Y653" i="1"/>
  <c r="X642" i="1"/>
  <c r="W642" i="1"/>
  <c r="W657" i="1"/>
  <c r="V642" i="1"/>
  <c r="V655" i="1"/>
  <c r="U642" i="1"/>
  <c r="U653" i="1"/>
  <c r="T642" i="1"/>
  <c r="S642" i="1"/>
  <c r="S654" i="1"/>
  <c r="R642" i="1"/>
  <c r="R653" i="1"/>
  <c r="Q642" i="1"/>
  <c r="Q653" i="1"/>
  <c r="P642" i="1"/>
  <c r="O642" i="1"/>
  <c r="O654" i="1"/>
  <c r="N642" i="1"/>
  <c r="N657" i="1"/>
  <c r="M642" i="1"/>
  <c r="M653" i="1"/>
  <c r="L642" i="1"/>
  <c r="K642" i="1"/>
  <c r="K656" i="1"/>
  <c r="J642" i="1"/>
  <c r="J655" i="1"/>
  <c r="I642" i="1"/>
  <c r="I657" i="1"/>
  <c r="G642" i="1"/>
  <c r="G657" i="1"/>
  <c r="F642" i="1"/>
  <c r="F657" i="1"/>
  <c r="E642" i="1"/>
  <c r="D642" i="1"/>
  <c r="C642" i="1"/>
  <c r="B642" i="1"/>
  <c r="AX633" i="1"/>
  <c r="AW633" i="1"/>
  <c r="AV633" i="1"/>
  <c r="AU633" i="1"/>
  <c r="AT633" i="1"/>
  <c r="AS633" i="1"/>
  <c r="AR633" i="1"/>
  <c r="AQ633" i="1"/>
  <c r="AP633" i="1"/>
  <c r="AO633" i="1"/>
  <c r="AN633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G633" i="1"/>
  <c r="F633" i="1"/>
  <c r="E633" i="1"/>
  <c r="D633" i="1"/>
  <c r="C633" i="1"/>
  <c r="B633" i="1"/>
  <c r="AX632" i="1"/>
  <c r="AW632" i="1"/>
  <c r="AV632" i="1"/>
  <c r="AU632" i="1"/>
  <c r="AT632" i="1"/>
  <c r="AS632" i="1"/>
  <c r="AR632" i="1"/>
  <c r="AQ632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G632" i="1"/>
  <c r="F632" i="1"/>
  <c r="E632" i="1"/>
  <c r="D632" i="1"/>
  <c r="C632" i="1"/>
  <c r="B632" i="1"/>
  <c r="AX631" i="1"/>
  <c r="AW631" i="1"/>
  <c r="AV631" i="1"/>
  <c r="AU631" i="1"/>
  <c r="AT631" i="1"/>
  <c r="AS631" i="1"/>
  <c r="AR631" i="1"/>
  <c r="AQ631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G631" i="1"/>
  <c r="F631" i="1"/>
  <c r="E631" i="1"/>
  <c r="D631" i="1"/>
  <c r="C631" i="1"/>
  <c r="B631" i="1"/>
  <c r="AX630" i="1"/>
  <c r="AW630" i="1"/>
  <c r="AV630" i="1"/>
  <c r="AU630" i="1"/>
  <c r="AT630" i="1"/>
  <c r="AS630" i="1"/>
  <c r="AR630" i="1"/>
  <c r="AQ630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G630" i="1"/>
  <c r="F630" i="1"/>
  <c r="E630" i="1"/>
  <c r="D630" i="1"/>
  <c r="C630" i="1"/>
  <c r="B630" i="1"/>
  <c r="AX629" i="1"/>
  <c r="AW629" i="1"/>
  <c r="AV629" i="1"/>
  <c r="AU629" i="1"/>
  <c r="AT629" i="1"/>
  <c r="AS629" i="1"/>
  <c r="AR629" i="1"/>
  <c r="AQ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G629" i="1"/>
  <c r="F629" i="1"/>
  <c r="E629" i="1"/>
  <c r="D629" i="1"/>
  <c r="C629" i="1"/>
  <c r="B629" i="1"/>
  <c r="AX628" i="1"/>
  <c r="AW628" i="1"/>
  <c r="AV628" i="1"/>
  <c r="AU628" i="1"/>
  <c r="AT628" i="1"/>
  <c r="AS628" i="1"/>
  <c r="AR628" i="1"/>
  <c r="AQ628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G628" i="1"/>
  <c r="F628" i="1"/>
  <c r="E628" i="1"/>
  <c r="D628" i="1"/>
  <c r="C628" i="1"/>
  <c r="B628" i="1"/>
  <c r="AX627" i="1"/>
  <c r="AX639" i="1"/>
  <c r="AW627" i="1"/>
  <c r="AW638" i="1"/>
  <c r="AV627" i="1"/>
  <c r="AU627" i="1"/>
  <c r="AT627" i="1"/>
  <c r="AT639" i="1"/>
  <c r="AS627" i="1"/>
  <c r="AS638" i="1"/>
  <c r="AR627" i="1"/>
  <c r="AQ627" i="1"/>
  <c r="AP627" i="1"/>
  <c r="AP639" i="1"/>
  <c r="AO627" i="1"/>
  <c r="AO638" i="1"/>
  <c r="AN627" i="1"/>
  <c r="AM627" i="1"/>
  <c r="AL627" i="1"/>
  <c r="AL639" i="1"/>
  <c r="AK627" i="1"/>
  <c r="AK638" i="1"/>
  <c r="AJ627" i="1"/>
  <c r="AI627" i="1"/>
  <c r="AH627" i="1"/>
  <c r="AH639" i="1"/>
  <c r="AG627" i="1"/>
  <c r="AG638" i="1"/>
  <c r="AF627" i="1"/>
  <c r="AE627" i="1"/>
  <c r="AD627" i="1"/>
  <c r="AD639" i="1"/>
  <c r="AC627" i="1"/>
  <c r="AC638" i="1"/>
  <c r="AB627" i="1"/>
  <c r="AA627" i="1"/>
  <c r="Z627" i="1"/>
  <c r="Z639" i="1"/>
  <c r="Y627" i="1"/>
  <c r="Y638" i="1"/>
  <c r="X627" i="1"/>
  <c r="W627" i="1"/>
  <c r="V627" i="1"/>
  <c r="V639" i="1"/>
  <c r="U627" i="1"/>
  <c r="U638" i="1"/>
  <c r="T627" i="1"/>
  <c r="S627" i="1"/>
  <c r="R627" i="1"/>
  <c r="R639" i="1"/>
  <c r="Q627" i="1"/>
  <c r="Q638" i="1"/>
  <c r="P627" i="1"/>
  <c r="O627" i="1"/>
  <c r="N627" i="1"/>
  <c r="N639" i="1"/>
  <c r="M627" i="1"/>
  <c r="M638" i="1"/>
  <c r="L627" i="1"/>
  <c r="K627" i="1"/>
  <c r="J627" i="1"/>
  <c r="J639" i="1"/>
  <c r="I627" i="1"/>
  <c r="I638" i="1"/>
  <c r="G627" i="1"/>
  <c r="F627" i="1"/>
  <c r="E627" i="1"/>
  <c r="D627" i="1"/>
  <c r="C627" i="1"/>
  <c r="B627" i="1"/>
  <c r="AX618" i="1"/>
  <c r="AW618" i="1"/>
  <c r="AV618" i="1"/>
  <c r="AU618" i="1"/>
  <c r="AT618" i="1"/>
  <c r="AS618" i="1"/>
  <c r="AR618" i="1"/>
  <c r="AQ618" i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G618" i="1"/>
  <c r="F618" i="1"/>
  <c r="E618" i="1"/>
  <c r="D618" i="1"/>
  <c r="C618" i="1"/>
  <c r="B618" i="1"/>
  <c r="AX617" i="1"/>
  <c r="AW617" i="1"/>
  <c r="AV617" i="1"/>
  <c r="AU617" i="1"/>
  <c r="AT617" i="1"/>
  <c r="AS617" i="1"/>
  <c r="AR617" i="1"/>
  <c r="AQ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G617" i="1"/>
  <c r="F617" i="1"/>
  <c r="E617" i="1"/>
  <c r="D617" i="1"/>
  <c r="C617" i="1"/>
  <c r="B617" i="1"/>
  <c r="AX616" i="1"/>
  <c r="AW616" i="1"/>
  <c r="AV616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G616" i="1"/>
  <c r="F616" i="1"/>
  <c r="E616" i="1"/>
  <c r="D616" i="1"/>
  <c r="C616" i="1"/>
  <c r="B616" i="1"/>
  <c r="AX615" i="1"/>
  <c r="AW615" i="1"/>
  <c r="AV615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G615" i="1"/>
  <c r="F615" i="1"/>
  <c r="E615" i="1"/>
  <c r="D615" i="1"/>
  <c r="C615" i="1"/>
  <c r="B615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G614" i="1"/>
  <c r="F614" i="1"/>
  <c r="E614" i="1"/>
  <c r="D614" i="1"/>
  <c r="C614" i="1"/>
  <c r="B614" i="1"/>
  <c r="AX613" i="1"/>
  <c r="AW613" i="1"/>
  <c r="AV613" i="1"/>
  <c r="AU613" i="1"/>
  <c r="AT613" i="1"/>
  <c r="AS613" i="1"/>
  <c r="AR613" i="1"/>
  <c r="AQ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G613" i="1"/>
  <c r="F613" i="1"/>
  <c r="E613" i="1"/>
  <c r="D613" i="1"/>
  <c r="C613" i="1"/>
  <c r="B613" i="1"/>
  <c r="AX612" i="1"/>
  <c r="AW612" i="1"/>
  <c r="AV612" i="1"/>
  <c r="AU612" i="1"/>
  <c r="AT612" i="1"/>
  <c r="AS612" i="1"/>
  <c r="AR612" i="1"/>
  <c r="AQ612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G612" i="1"/>
  <c r="F612" i="1"/>
  <c r="E612" i="1"/>
  <c r="D612" i="1"/>
  <c r="C612" i="1"/>
  <c r="B612" i="1"/>
  <c r="AX611" i="1"/>
  <c r="AW611" i="1"/>
  <c r="AV611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G611" i="1"/>
  <c r="F611" i="1"/>
  <c r="E611" i="1"/>
  <c r="D611" i="1"/>
  <c r="C611" i="1"/>
  <c r="B611" i="1"/>
  <c r="AX610" i="1"/>
  <c r="AW610" i="1"/>
  <c r="AV610" i="1"/>
  <c r="AU610" i="1"/>
  <c r="AT610" i="1"/>
  <c r="AS610" i="1"/>
  <c r="AR610" i="1"/>
  <c r="AQ610" i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G610" i="1"/>
  <c r="F610" i="1"/>
  <c r="E610" i="1"/>
  <c r="D610" i="1"/>
  <c r="C610" i="1"/>
  <c r="B610" i="1"/>
  <c r="AX609" i="1"/>
  <c r="AX619" i="1"/>
  <c r="AW609" i="1"/>
  <c r="AW624" i="1"/>
  <c r="AV609" i="1"/>
  <c r="AV624" i="1"/>
  <c r="AU609" i="1"/>
  <c r="AT609" i="1"/>
  <c r="AT622" i="1"/>
  <c r="AS609" i="1"/>
  <c r="AS623" i="1"/>
  <c r="AR609" i="1"/>
  <c r="AQ609" i="1"/>
  <c r="AP609" i="1"/>
  <c r="AP620" i="1"/>
  <c r="AO609" i="1"/>
  <c r="AO624" i="1"/>
  <c r="AN609" i="1"/>
  <c r="AN624" i="1"/>
  <c r="AM609" i="1"/>
  <c r="AL609" i="1"/>
  <c r="AL622" i="1"/>
  <c r="AK609" i="1"/>
  <c r="AK623" i="1"/>
  <c r="AJ609" i="1"/>
  <c r="AI609" i="1"/>
  <c r="AH609" i="1"/>
  <c r="AH619" i="1"/>
  <c r="AG609" i="1"/>
  <c r="AG624" i="1"/>
  <c r="AF609" i="1"/>
  <c r="AF624" i="1"/>
  <c r="AE609" i="1"/>
  <c r="AD609" i="1"/>
  <c r="AD623" i="1"/>
  <c r="AC609" i="1"/>
  <c r="AC623" i="1"/>
  <c r="AB609" i="1"/>
  <c r="AA609" i="1"/>
  <c r="Z609" i="1"/>
  <c r="Z620" i="1"/>
  <c r="Z485" i="1"/>
  <c r="Y609" i="1"/>
  <c r="Y624" i="1"/>
  <c r="X609" i="1"/>
  <c r="X624" i="1"/>
  <c r="W609" i="1"/>
  <c r="V609" i="1"/>
  <c r="V622" i="1"/>
  <c r="U609" i="1"/>
  <c r="U623" i="1"/>
  <c r="T609" i="1"/>
  <c r="S609" i="1"/>
  <c r="R609" i="1"/>
  <c r="R619" i="1"/>
  <c r="Q609" i="1"/>
  <c r="Q624" i="1"/>
  <c r="P609" i="1"/>
  <c r="P624" i="1"/>
  <c r="O609" i="1"/>
  <c r="N609" i="1"/>
  <c r="N623" i="1"/>
  <c r="M609" i="1"/>
  <c r="M623" i="1"/>
  <c r="L609" i="1"/>
  <c r="K609" i="1"/>
  <c r="J609" i="1"/>
  <c r="J620" i="1"/>
  <c r="I609" i="1"/>
  <c r="I624" i="1"/>
  <c r="G609" i="1"/>
  <c r="F609" i="1"/>
  <c r="F622" i="1"/>
  <c r="E609" i="1"/>
  <c r="D609" i="1"/>
  <c r="C609" i="1"/>
  <c r="B609" i="1"/>
  <c r="AX600" i="1"/>
  <c r="AW600" i="1"/>
  <c r="AV600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G600" i="1"/>
  <c r="F600" i="1"/>
  <c r="E600" i="1"/>
  <c r="D600" i="1"/>
  <c r="C600" i="1"/>
  <c r="B600" i="1"/>
  <c r="AX599" i="1"/>
  <c r="AW599" i="1"/>
  <c r="AV599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G599" i="1"/>
  <c r="F599" i="1"/>
  <c r="E599" i="1"/>
  <c r="D599" i="1"/>
  <c r="C599" i="1"/>
  <c r="B599" i="1"/>
  <c r="AX598" i="1"/>
  <c r="AW598" i="1"/>
  <c r="AV598" i="1"/>
  <c r="AU598" i="1"/>
  <c r="AT598" i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G598" i="1"/>
  <c r="F598" i="1"/>
  <c r="E598" i="1"/>
  <c r="D598" i="1"/>
  <c r="C598" i="1"/>
  <c r="B598" i="1"/>
  <c r="AX597" i="1"/>
  <c r="AW597" i="1"/>
  <c r="AV597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G597" i="1"/>
  <c r="F597" i="1"/>
  <c r="E597" i="1"/>
  <c r="D597" i="1"/>
  <c r="C597" i="1"/>
  <c r="B597" i="1"/>
  <c r="AX596" i="1"/>
  <c r="AW596" i="1"/>
  <c r="AV596" i="1"/>
  <c r="AU596" i="1"/>
  <c r="AT596" i="1"/>
  <c r="AS596" i="1"/>
  <c r="AR596" i="1"/>
  <c r="AQ596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G596" i="1"/>
  <c r="F596" i="1"/>
  <c r="E596" i="1"/>
  <c r="D596" i="1"/>
  <c r="C596" i="1"/>
  <c r="B596" i="1"/>
  <c r="AX595" i="1"/>
  <c r="AX603" i="1"/>
  <c r="AW595" i="1"/>
  <c r="AW604" i="1"/>
  <c r="AV595" i="1"/>
  <c r="AU595" i="1"/>
  <c r="AU606" i="1"/>
  <c r="AT595" i="1"/>
  <c r="AT603" i="1"/>
  <c r="AS595" i="1"/>
  <c r="AS604" i="1"/>
  <c r="AR595" i="1"/>
  <c r="AQ595" i="1"/>
  <c r="AQ606" i="1"/>
  <c r="AP595" i="1"/>
  <c r="AP603" i="1"/>
  <c r="AO595" i="1"/>
  <c r="AO604" i="1"/>
  <c r="AN595" i="1"/>
  <c r="AM595" i="1"/>
  <c r="AM606" i="1"/>
  <c r="AL595" i="1"/>
  <c r="AL603" i="1"/>
  <c r="AK595" i="1"/>
  <c r="AK604" i="1"/>
  <c r="AJ595" i="1"/>
  <c r="AI595" i="1"/>
  <c r="AI606" i="1"/>
  <c r="AH595" i="1"/>
  <c r="AH603" i="1"/>
  <c r="AG595" i="1"/>
  <c r="AG604" i="1"/>
  <c r="AF595" i="1"/>
  <c r="AE595" i="1"/>
  <c r="AE606" i="1"/>
  <c r="AD595" i="1"/>
  <c r="AD603" i="1"/>
  <c r="AC595" i="1"/>
  <c r="AC604" i="1"/>
  <c r="AB595" i="1"/>
  <c r="AA595" i="1"/>
  <c r="AA606" i="1"/>
  <c r="Z595" i="1"/>
  <c r="Z603" i="1"/>
  <c r="Y595" i="1"/>
  <c r="Y604" i="1"/>
  <c r="X595" i="1"/>
  <c r="W595" i="1"/>
  <c r="W606" i="1"/>
  <c r="V595" i="1"/>
  <c r="V603" i="1"/>
  <c r="U595" i="1"/>
  <c r="U604" i="1"/>
  <c r="T595" i="1"/>
  <c r="S595" i="1"/>
  <c r="S606" i="1"/>
  <c r="R595" i="1"/>
  <c r="R603" i="1"/>
  <c r="Q595" i="1"/>
  <c r="Q604" i="1"/>
  <c r="P595" i="1"/>
  <c r="O595" i="1"/>
  <c r="O606" i="1"/>
  <c r="N595" i="1"/>
  <c r="N603" i="1"/>
  <c r="M595" i="1"/>
  <c r="M604" i="1"/>
  <c r="L595" i="1"/>
  <c r="K595" i="1"/>
  <c r="K606" i="1"/>
  <c r="J595" i="1"/>
  <c r="J603" i="1"/>
  <c r="I595" i="1"/>
  <c r="I604" i="1"/>
  <c r="G595" i="1"/>
  <c r="F595" i="1"/>
  <c r="F603" i="1"/>
  <c r="E595" i="1"/>
  <c r="D595" i="1"/>
  <c r="C595" i="1"/>
  <c r="B595" i="1"/>
  <c r="AX586" i="1"/>
  <c r="AW586" i="1"/>
  <c r="AV586" i="1"/>
  <c r="AU586" i="1"/>
  <c r="AT586" i="1"/>
  <c r="AS586" i="1"/>
  <c r="AR586" i="1"/>
  <c r="AQ586" i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G586" i="1"/>
  <c r="F586" i="1"/>
  <c r="E586" i="1"/>
  <c r="D586" i="1"/>
  <c r="C586" i="1"/>
  <c r="B586" i="1"/>
  <c r="AX585" i="1"/>
  <c r="AW585" i="1"/>
  <c r="AV585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G585" i="1"/>
  <c r="F585" i="1"/>
  <c r="E585" i="1"/>
  <c r="D585" i="1"/>
  <c r="C585" i="1"/>
  <c r="B585" i="1"/>
  <c r="AX584" i="1"/>
  <c r="AW584" i="1"/>
  <c r="AV584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G584" i="1"/>
  <c r="F584" i="1"/>
  <c r="E584" i="1"/>
  <c r="D584" i="1"/>
  <c r="C584" i="1"/>
  <c r="B584" i="1"/>
  <c r="AX583" i="1"/>
  <c r="AW583" i="1"/>
  <c r="AV583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G583" i="1"/>
  <c r="F583" i="1"/>
  <c r="E583" i="1"/>
  <c r="D583" i="1"/>
  <c r="C583" i="1"/>
  <c r="B583" i="1"/>
  <c r="AX582" i="1"/>
  <c r="AW582" i="1"/>
  <c r="AV582" i="1"/>
  <c r="AU582" i="1"/>
  <c r="AT582" i="1"/>
  <c r="AS582" i="1"/>
  <c r="AR582" i="1"/>
  <c r="AQ582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G582" i="1"/>
  <c r="F582" i="1"/>
  <c r="E582" i="1"/>
  <c r="D582" i="1"/>
  <c r="C582" i="1"/>
  <c r="B582" i="1"/>
  <c r="AX581" i="1"/>
  <c r="AW581" i="1"/>
  <c r="AV581" i="1"/>
  <c r="AU581" i="1"/>
  <c r="AT581" i="1"/>
  <c r="AS581" i="1"/>
  <c r="AR581" i="1"/>
  <c r="AQ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G581" i="1"/>
  <c r="F581" i="1"/>
  <c r="E581" i="1"/>
  <c r="D581" i="1"/>
  <c r="C581" i="1"/>
  <c r="B581" i="1"/>
  <c r="AX580" i="1"/>
  <c r="AW580" i="1"/>
  <c r="AV580" i="1"/>
  <c r="AU580" i="1"/>
  <c r="AT580" i="1"/>
  <c r="AS580" i="1"/>
  <c r="AR580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G580" i="1"/>
  <c r="F580" i="1"/>
  <c r="E580" i="1"/>
  <c r="D580" i="1"/>
  <c r="C580" i="1"/>
  <c r="B580" i="1"/>
  <c r="AX579" i="1"/>
  <c r="AX587" i="1"/>
  <c r="AW579" i="1"/>
  <c r="AW588" i="1"/>
  <c r="AV579" i="1"/>
  <c r="AV589" i="1"/>
  <c r="AU579" i="1"/>
  <c r="AT579" i="1"/>
  <c r="AT591" i="1"/>
  <c r="AS579" i="1"/>
  <c r="AS592" i="1"/>
  <c r="AR579" i="1"/>
  <c r="AQ579" i="1"/>
  <c r="AP579" i="1"/>
  <c r="AP587" i="1"/>
  <c r="AO579" i="1"/>
  <c r="AO592" i="1"/>
  <c r="AN579" i="1"/>
  <c r="AM579" i="1"/>
  <c r="AL579" i="1"/>
  <c r="AL591" i="1"/>
  <c r="AK579" i="1"/>
  <c r="AJ579" i="1"/>
  <c r="AI579" i="1"/>
  <c r="AH579" i="1"/>
  <c r="AH587" i="1"/>
  <c r="AG579" i="1"/>
  <c r="AG588" i="1"/>
  <c r="AF579" i="1"/>
  <c r="AF589" i="1"/>
  <c r="AE579" i="1"/>
  <c r="AD579" i="1"/>
  <c r="AD591" i="1"/>
  <c r="AC579" i="1"/>
  <c r="AC592" i="1"/>
  <c r="AB579" i="1"/>
  <c r="AA579" i="1"/>
  <c r="Z579" i="1"/>
  <c r="Z587" i="1"/>
  <c r="Y579" i="1"/>
  <c r="Y592" i="1"/>
  <c r="X579" i="1"/>
  <c r="W579" i="1"/>
  <c r="V579" i="1"/>
  <c r="V591" i="1"/>
  <c r="U579" i="1"/>
  <c r="T579" i="1"/>
  <c r="S579" i="1"/>
  <c r="R579" i="1"/>
  <c r="R587" i="1"/>
  <c r="Q579" i="1"/>
  <c r="Q588" i="1"/>
  <c r="P579" i="1"/>
  <c r="P589" i="1"/>
  <c r="O579" i="1"/>
  <c r="N579" i="1"/>
  <c r="N591" i="1"/>
  <c r="M579" i="1"/>
  <c r="M592" i="1"/>
  <c r="L579" i="1"/>
  <c r="K579" i="1"/>
  <c r="J579" i="1"/>
  <c r="J587" i="1"/>
  <c r="I579" i="1"/>
  <c r="I592" i="1"/>
  <c r="G579" i="1"/>
  <c r="F579" i="1"/>
  <c r="F591" i="1"/>
  <c r="E579" i="1"/>
  <c r="D579" i="1"/>
  <c r="C579" i="1"/>
  <c r="B579" i="1"/>
  <c r="AX570" i="1"/>
  <c r="AW570" i="1"/>
  <c r="AV570" i="1"/>
  <c r="AU570" i="1"/>
  <c r="AT570" i="1"/>
  <c r="AS570" i="1"/>
  <c r="AR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G570" i="1"/>
  <c r="F570" i="1"/>
  <c r="E570" i="1"/>
  <c r="D570" i="1"/>
  <c r="C570" i="1"/>
  <c r="B570" i="1"/>
  <c r="AX569" i="1"/>
  <c r="AW569" i="1"/>
  <c r="AV569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G569" i="1"/>
  <c r="F569" i="1"/>
  <c r="E569" i="1"/>
  <c r="D569" i="1"/>
  <c r="C569" i="1"/>
  <c r="B569" i="1"/>
  <c r="AX568" i="1"/>
  <c r="AW568" i="1"/>
  <c r="AV568" i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G568" i="1"/>
  <c r="F568" i="1"/>
  <c r="E568" i="1"/>
  <c r="D568" i="1"/>
  <c r="C568" i="1"/>
  <c r="B568" i="1"/>
  <c r="AX567" i="1"/>
  <c r="AW567" i="1"/>
  <c r="AV567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G567" i="1"/>
  <c r="F567" i="1"/>
  <c r="E567" i="1"/>
  <c r="D567" i="1"/>
  <c r="C567" i="1"/>
  <c r="B567" i="1"/>
  <c r="AX566" i="1"/>
  <c r="AW566" i="1"/>
  <c r="AV566" i="1"/>
  <c r="AU566" i="1"/>
  <c r="AT566" i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G566" i="1"/>
  <c r="F566" i="1"/>
  <c r="E566" i="1"/>
  <c r="D566" i="1"/>
  <c r="C566" i="1"/>
  <c r="B566" i="1"/>
  <c r="AX565" i="1"/>
  <c r="AW565" i="1"/>
  <c r="AV565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G565" i="1"/>
  <c r="F565" i="1"/>
  <c r="E565" i="1"/>
  <c r="D565" i="1"/>
  <c r="C565" i="1"/>
  <c r="B565" i="1"/>
  <c r="AX564" i="1"/>
  <c r="AW564" i="1"/>
  <c r="AV564" i="1"/>
  <c r="AU564" i="1"/>
  <c r="AT564" i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G564" i="1"/>
  <c r="F564" i="1"/>
  <c r="E564" i="1"/>
  <c r="D564" i="1"/>
  <c r="C564" i="1"/>
  <c r="B564" i="1"/>
  <c r="AX563" i="1"/>
  <c r="AW563" i="1"/>
  <c r="AV563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G563" i="1"/>
  <c r="F563" i="1"/>
  <c r="E563" i="1"/>
  <c r="D563" i="1"/>
  <c r="C563" i="1"/>
  <c r="B563" i="1"/>
  <c r="AX562" i="1"/>
  <c r="AW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G562" i="1"/>
  <c r="F562" i="1"/>
  <c r="E562" i="1"/>
  <c r="D562" i="1"/>
  <c r="C562" i="1"/>
  <c r="B562" i="1"/>
  <c r="AX561" i="1"/>
  <c r="AW561" i="1"/>
  <c r="AV561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G561" i="1"/>
  <c r="F561" i="1"/>
  <c r="E561" i="1"/>
  <c r="D561" i="1"/>
  <c r="C561" i="1"/>
  <c r="B561" i="1"/>
  <c r="AX560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G560" i="1"/>
  <c r="F560" i="1"/>
  <c r="E560" i="1"/>
  <c r="D560" i="1"/>
  <c r="C560" i="1"/>
  <c r="B560" i="1"/>
  <c r="AX559" i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G559" i="1"/>
  <c r="F559" i="1"/>
  <c r="E559" i="1"/>
  <c r="D559" i="1"/>
  <c r="C559" i="1"/>
  <c r="B559" i="1"/>
  <c r="AX558" i="1"/>
  <c r="AW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G558" i="1"/>
  <c r="F558" i="1"/>
  <c r="E558" i="1"/>
  <c r="D558" i="1"/>
  <c r="C558" i="1"/>
  <c r="B558" i="1"/>
  <c r="AX557" i="1"/>
  <c r="AW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G557" i="1"/>
  <c r="F557" i="1"/>
  <c r="E557" i="1"/>
  <c r="D557" i="1"/>
  <c r="C557" i="1"/>
  <c r="B557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G556" i="1"/>
  <c r="F556" i="1"/>
  <c r="E556" i="1"/>
  <c r="D556" i="1"/>
  <c r="C556" i="1"/>
  <c r="B556" i="1"/>
  <c r="AX555" i="1"/>
  <c r="AW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G555" i="1"/>
  <c r="F555" i="1"/>
  <c r="E555" i="1"/>
  <c r="D555" i="1"/>
  <c r="C555" i="1"/>
  <c r="B555" i="1"/>
  <c r="AX554" i="1"/>
  <c r="AW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G554" i="1"/>
  <c r="F554" i="1"/>
  <c r="E554" i="1"/>
  <c r="D554" i="1"/>
  <c r="C554" i="1"/>
  <c r="B554" i="1"/>
  <c r="AX553" i="1"/>
  <c r="AW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G553" i="1"/>
  <c r="F553" i="1"/>
  <c r="E553" i="1"/>
  <c r="D553" i="1"/>
  <c r="C553" i="1"/>
  <c r="B553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G552" i="1"/>
  <c r="F552" i="1"/>
  <c r="E552" i="1"/>
  <c r="D552" i="1"/>
  <c r="C552" i="1"/>
  <c r="B552" i="1"/>
  <c r="AX551" i="1"/>
  <c r="AW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G551" i="1"/>
  <c r="F551" i="1"/>
  <c r="E551" i="1"/>
  <c r="D551" i="1"/>
  <c r="C551" i="1"/>
  <c r="B551" i="1"/>
  <c r="AX550" i="1"/>
  <c r="AW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G550" i="1"/>
  <c r="F550" i="1"/>
  <c r="E550" i="1"/>
  <c r="D550" i="1"/>
  <c r="C550" i="1"/>
  <c r="B550" i="1"/>
  <c r="AX549" i="1"/>
  <c r="AW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G549" i="1"/>
  <c r="F549" i="1"/>
  <c r="E549" i="1"/>
  <c r="D549" i="1"/>
  <c r="C549" i="1"/>
  <c r="B549" i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G548" i="1"/>
  <c r="F548" i="1"/>
  <c r="E548" i="1"/>
  <c r="D548" i="1"/>
  <c r="C548" i="1"/>
  <c r="B548" i="1"/>
  <c r="AX547" i="1"/>
  <c r="AW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G547" i="1"/>
  <c r="F547" i="1"/>
  <c r="E547" i="1"/>
  <c r="D547" i="1"/>
  <c r="C547" i="1"/>
  <c r="B547" i="1"/>
  <c r="AX546" i="1"/>
  <c r="AX573" i="1"/>
  <c r="AW546" i="1"/>
  <c r="AW574" i="1"/>
  <c r="AV546" i="1"/>
  <c r="AV575" i="1"/>
  <c r="AU546" i="1"/>
  <c r="AU576" i="1"/>
  <c r="AT546" i="1"/>
  <c r="AT573" i="1"/>
  <c r="AS546" i="1"/>
  <c r="AS574" i="1"/>
  <c r="AR546" i="1"/>
  <c r="AR575" i="1"/>
  <c r="AQ546" i="1"/>
  <c r="AQ576" i="1"/>
  <c r="AP546" i="1"/>
  <c r="AP573" i="1"/>
  <c r="AO546" i="1"/>
  <c r="AO574" i="1"/>
  <c r="AN546" i="1"/>
  <c r="AN575" i="1"/>
  <c r="AM546" i="1"/>
  <c r="AM576" i="1"/>
  <c r="AL546" i="1"/>
  <c r="AL573" i="1"/>
  <c r="AK546" i="1"/>
  <c r="AK574" i="1"/>
  <c r="AJ546" i="1"/>
  <c r="AJ575" i="1"/>
  <c r="AI546" i="1"/>
  <c r="AI576" i="1"/>
  <c r="AH546" i="1"/>
  <c r="AH573" i="1"/>
  <c r="AG546" i="1"/>
  <c r="AG574" i="1"/>
  <c r="AF546" i="1"/>
  <c r="AF575" i="1"/>
  <c r="AE546" i="1"/>
  <c r="AE576" i="1"/>
  <c r="AD546" i="1"/>
  <c r="AD573" i="1"/>
  <c r="AC546" i="1"/>
  <c r="AC574" i="1"/>
  <c r="AB546" i="1"/>
  <c r="AB575" i="1"/>
  <c r="AA546" i="1"/>
  <c r="AA576" i="1"/>
  <c r="Z546" i="1"/>
  <c r="Z573" i="1"/>
  <c r="Y546" i="1"/>
  <c r="Y574" i="1"/>
  <c r="X546" i="1"/>
  <c r="X575" i="1"/>
  <c r="W546" i="1"/>
  <c r="W576" i="1"/>
  <c r="V546" i="1"/>
  <c r="V573" i="1"/>
  <c r="U546" i="1"/>
  <c r="U574" i="1"/>
  <c r="T546" i="1"/>
  <c r="T575" i="1"/>
  <c r="S546" i="1"/>
  <c r="S576" i="1"/>
  <c r="R546" i="1"/>
  <c r="R573" i="1"/>
  <c r="Q546" i="1"/>
  <c r="Q574" i="1"/>
  <c r="P546" i="1"/>
  <c r="P575" i="1"/>
  <c r="O546" i="1"/>
  <c r="O576" i="1"/>
  <c r="N546" i="1"/>
  <c r="N573" i="1"/>
  <c r="M546" i="1"/>
  <c r="M574" i="1"/>
  <c r="L546" i="1"/>
  <c r="L575" i="1"/>
  <c r="K546" i="1"/>
  <c r="K576" i="1"/>
  <c r="J546" i="1"/>
  <c r="J573" i="1"/>
  <c r="I546" i="1"/>
  <c r="I574" i="1"/>
  <c r="G546" i="1"/>
  <c r="G576" i="1"/>
  <c r="F546" i="1"/>
  <c r="F573" i="1"/>
  <c r="E546" i="1"/>
  <c r="D546" i="1"/>
  <c r="C546" i="1"/>
  <c r="B546" i="1"/>
  <c r="AX537" i="1"/>
  <c r="AW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G537" i="1"/>
  <c r="F537" i="1"/>
  <c r="E537" i="1"/>
  <c r="D537" i="1"/>
  <c r="C537" i="1"/>
  <c r="B537" i="1"/>
  <c r="AX536" i="1"/>
  <c r="AW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G536" i="1"/>
  <c r="F536" i="1"/>
  <c r="E536" i="1"/>
  <c r="D536" i="1"/>
  <c r="C536" i="1"/>
  <c r="B536" i="1"/>
  <c r="AX535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G535" i="1"/>
  <c r="F535" i="1"/>
  <c r="E535" i="1"/>
  <c r="D535" i="1"/>
  <c r="C535" i="1"/>
  <c r="B535" i="1"/>
  <c r="AX534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G534" i="1"/>
  <c r="F534" i="1"/>
  <c r="E534" i="1"/>
  <c r="D534" i="1"/>
  <c r="C534" i="1"/>
  <c r="B534" i="1"/>
  <c r="AX533" i="1"/>
  <c r="AW533" i="1"/>
  <c r="AV533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G533" i="1"/>
  <c r="F533" i="1"/>
  <c r="E533" i="1"/>
  <c r="D533" i="1"/>
  <c r="C533" i="1"/>
  <c r="B533" i="1"/>
  <c r="AX532" i="1"/>
  <c r="AX542" i="1"/>
  <c r="AW532" i="1"/>
  <c r="AW540" i="1"/>
  <c r="AV532" i="1"/>
  <c r="AV540" i="1"/>
  <c r="AU532" i="1"/>
  <c r="AU542" i="1"/>
  <c r="AT532" i="1"/>
  <c r="AT542" i="1"/>
  <c r="AS532" i="1"/>
  <c r="AS540" i="1"/>
  <c r="AR532" i="1"/>
  <c r="AR540" i="1"/>
  <c r="AQ532" i="1"/>
  <c r="AQ542" i="1"/>
  <c r="AP532" i="1"/>
  <c r="AP542" i="1"/>
  <c r="AO532" i="1"/>
  <c r="AO540" i="1"/>
  <c r="AN532" i="1"/>
  <c r="AN540" i="1"/>
  <c r="AM532" i="1"/>
  <c r="AM542" i="1"/>
  <c r="AL532" i="1"/>
  <c r="AL542" i="1"/>
  <c r="AK532" i="1"/>
  <c r="AK540" i="1"/>
  <c r="AJ532" i="1"/>
  <c r="AJ540" i="1"/>
  <c r="AI532" i="1"/>
  <c r="AI542" i="1"/>
  <c r="AH532" i="1"/>
  <c r="AH542" i="1"/>
  <c r="AG532" i="1"/>
  <c r="AG540" i="1"/>
  <c r="AF532" i="1"/>
  <c r="AF540" i="1"/>
  <c r="AE532" i="1"/>
  <c r="AE542" i="1"/>
  <c r="AD532" i="1"/>
  <c r="AD542" i="1"/>
  <c r="AC532" i="1"/>
  <c r="AC540" i="1"/>
  <c r="AB532" i="1"/>
  <c r="AB540" i="1"/>
  <c r="AA532" i="1"/>
  <c r="AA542" i="1"/>
  <c r="Z532" i="1"/>
  <c r="Z542" i="1"/>
  <c r="Y532" i="1"/>
  <c r="Y540" i="1"/>
  <c r="X532" i="1"/>
  <c r="X540" i="1"/>
  <c r="W532" i="1"/>
  <c r="W542" i="1"/>
  <c r="V532" i="1"/>
  <c r="V542" i="1"/>
  <c r="U532" i="1"/>
  <c r="U540" i="1"/>
  <c r="T532" i="1"/>
  <c r="T540" i="1"/>
  <c r="S532" i="1"/>
  <c r="S542" i="1"/>
  <c r="R532" i="1"/>
  <c r="R542" i="1"/>
  <c r="Q532" i="1"/>
  <c r="Q540" i="1"/>
  <c r="P532" i="1"/>
  <c r="P540" i="1"/>
  <c r="O532" i="1"/>
  <c r="O542" i="1"/>
  <c r="N532" i="1"/>
  <c r="N542" i="1"/>
  <c r="M532" i="1"/>
  <c r="M540" i="1"/>
  <c r="L532" i="1"/>
  <c r="L540" i="1"/>
  <c r="K532" i="1"/>
  <c r="K542" i="1"/>
  <c r="J532" i="1"/>
  <c r="J542" i="1"/>
  <c r="I532" i="1"/>
  <c r="I540" i="1"/>
  <c r="G532" i="1"/>
  <c r="G542" i="1"/>
  <c r="F532" i="1"/>
  <c r="F542" i="1"/>
  <c r="E532" i="1"/>
  <c r="D532" i="1"/>
  <c r="C532" i="1"/>
  <c r="B532" i="1"/>
  <c r="AX523" i="1"/>
  <c r="AW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G523" i="1"/>
  <c r="F523" i="1"/>
  <c r="E523" i="1"/>
  <c r="D523" i="1"/>
  <c r="C523" i="1"/>
  <c r="B523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G522" i="1"/>
  <c r="F522" i="1"/>
  <c r="E522" i="1"/>
  <c r="D522" i="1"/>
  <c r="C522" i="1"/>
  <c r="B522" i="1"/>
  <c r="AX521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G521" i="1"/>
  <c r="F521" i="1"/>
  <c r="E521" i="1"/>
  <c r="D521" i="1"/>
  <c r="C521" i="1"/>
  <c r="B521" i="1"/>
  <c r="AX520" i="1"/>
  <c r="AW520" i="1"/>
  <c r="AV520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G520" i="1"/>
  <c r="F520" i="1"/>
  <c r="E520" i="1"/>
  <c r="D520" i="1"/>
  <c r="C520" i="1"/>
  <c r="B520" i="1"/>
  <c r="AX519" i="1"/>
  <c r="AW519" i="1"/>
  <c r="AV519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G519" i="1"/>
  <c r="F519" i="1"/>
  <c r="E519" i="1"/>
  <c r="D519" i="1"/>
  <c r="C519" i="1"/>
  <c r="B519" i="1"/>
  <c r="AX518" i="1"/>
  <c r="AW518" i="1"/>
  <c r="AV518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G518" i="1"/>
  <c r="F518" i="1"/>
  <c r="E518" i="1"/>
  <c r="D518" i="1"/>
  <c r="C518" i="1"/>
  <c r="B518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G517" i="1"/>
  <c r="F517" i="1"/>
  <c r="E517" i="1"/>
  <c r="D517" i="1"/>
  <c r="C517" i="1"/>
  <c r="B517" i="1"/>
  <c r="AX516" i="1"/>
  <c r="AW516" i="1"/>
  <c r="AV516" i="1"/>
  <c r="AU516" i="1"/>
  <c r="AT516" i="1"/>
  <c r="AS516" i="1"/>
  <c r="AR516" i="1"/>
  <c r="AQ516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G516" i="1"/>
  <c r="F516" i="1"/>
  <c r="E516" i="1"/>
  <c r="D516" i="1"/>
  <c r="C516" i="1"/>
  <c r="B516" i="1"/>
  <c r="AX515" i="1"/>
  <c r="AW515" i="1"/>
  <c r="AV515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G515" i="1"/>
  <c r="F515" i="1"/>
  <c r="E515" i="1"/>
  <c r="D515" i="1"/>
  <c r="C515" i="1"/>
  <c r="B515" i="1"/>
  <c r="AX514" i="1"/>
  <c r="AW514" i="1"/>
  <c r="AV514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G514" i="1"/>
  <c r="F514" i="1"/>
  <c r="E514" i="1"/>
  <c r="D514" i="1"/>
  <c r="C514" i="1"/>
  <c r="B514" i="1"/>
  <c r="AX513" i="1"/>
  <c r="AW513" i="1"/>
  <c r="AV513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G513" i="1"/>
  <c r="F513" i="1"/>
  <c r="E513" i="1"/>
  <c r="D513" i="1"/>
  <c r="C513" i="1"/>
  <c r="B513" i="1"/>
  <c r="AX512" i="1"/>
  <c r="AW512" i="1"/>
  <c r="AV512" i="1"/>
  <c r="AV527" i="1"/>
  <c r="AU512" i="1"/>
  <c r="AT512" i="1"/>
  <c r="AS512" i="1"/>
  <c r="AR512" i="1"/>
  <c r="AR527" i="1"/>
  <c r="AQ512" i="1"/>
  <c r="AP512" i="1"/>
  <c r="AO512" i="1"/>
  <c r="AN512" i="1"/>
  <c r="AN527" i="1"/>
  <c r="AM512" i="1"/>
  <c r="AL512" i="1"/>
  <c r="AK512" i="1"/>
  <c r="AJ512" i="1"/>
  <c r="AJ527" i="1"/>
  <c r="AI512" i="1"/>
  <c r="AH512" i="1"/>
  <c r="AG512" i="1"/>
  <c r="AF512" i="1"/>
  <c r="AF527" i="1"/>
  <c r="AE512" i="1"/>
  <c r="AD512" i="1"/>
  <c r="AC512" i="1"/>
  <c r="AB512" i="1"/>
  <c r="AB527" i="1"/>
  <c r="AA512" i="1"/>
  <c r="Z512" i="1"/>
  <c r="Y512" i="1"/>
  <c r="X512" i="1"/>
  <c r="X527" i="1"/>
  <c r="W512" i="1"/>
  <c r="V512" i="1"/>
  <c r="U512" i="1"/>
  <c r="T512" i="1"/>
  <c r="T527" i="1"/>
  <c r="S512" i="1"/>
  <c r="R512" i="1"/>
  <c r="Q512" i="1"/>
  <c r="P512" i="1"/>
  <c r="P527" i="1"/>
  <c r="O512" i="1"/>
  <c r="N512" i="1"/>
  <c r="M512" i="1"/>
  <c r="L512" i="1"/>
  <c r="L527" i="1"/>
  <c r="K512" i="1"/>
  <c r="J512" i="1"/>
  <c r="I512" i="1"/>
  <c r="G512" i="1"/>
  <c r="F512" i="1"/>
  <c r="F529" i="1"/>
  <c r="E512" i="1"/>
  <c r="D512" i="1"/>
  <c r="C512" i="1"/>
  <c r="B512" i="1"/>
  <c r="AX503" i="1"/>
  <c r="AW503" i="1"/>
  <c r="AV503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G503" i="1"/>
  <c r="F503" i="1"/>
  <c r="E503" i="1"/>
  <c r="D503" i="1"/>
  <c r="C503" i="1"/>
  <c r="B503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G502" i="1"/>
  <c r="F502" i="1"/>
  <c r="E502" i="1"/>
  <c r="D502" i="1"/>
  <c r="C502" i="1"/>
  <c r="B502" i="1"/>
  <c r="AX501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G501" i="1"/>
  <c r="F501" i="1"/>
  <c r="E501" i="1"/>
  <c r="D501" i="1"/>
  <c r="C501" i="1"/>
  <c r="B501" i="1"/>
  <c r="AX500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G500" i="1"/>
  <c r="F500" i="1"/>
  <c r="E500" i="1"/>
  <c r="D500" i="1"/>
  <c r="C500" i="1"/>
  <c r="B500" i="1"/>
  <c r="AX499" i="1"/>
  <c r="AW499" i="1"/>
  <c r="AV499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G499" i="1"/>
  <c r="F499" i="1"/>
  <c r="E499" i="1"/>
  <c r="D499" i="1"/>
  <c r="C499" i="1"/>
  <c r="B499" i="1"/>
  <c r="AX498" i="1"/>
  <c r="AW498" i="1"/>
  <c r="AV498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G498" i="1"/>
  <c r="F498" i="1"/>
  <c r="E498" i="1"/>
  <c r="D498" i="1"/>
  <c r="C498" i="1"/>
  <c r="B498" i="1"/>
  <c r="AX497" i="1"/>
  <c r="AW497" i="1"/>
  <c r="AV497" i="1"/>
  <c r="AV509" i="1"/>
  <c r="AU497" i="1"/>
  <c r="AU509" i="1"/>
  <c r="AT497" i="1"/>
  <c r="AT507" i="1"/>
  <c r="AS497" i="1"/>
  <c r="AR497" i="1"/>
  <c r="AR505" i="1"/>
  <c r="AR479" i="1"/>
  <c r="AQ497" i="1"/>
  <c r="AQ509" i="1"/>
  <c r="AP497" i="1"/>
  <c r="AO497" i="1"/>
  <c r="AN497" i="1"/>
  <c r="AN509" i="1"/>
  <c r="AM497" i="1"/>
  <c r="AM509" i="1"/>
  <c r="AL497" i="1"/>
  <c r="AL507" i="1"/>
  <c r="AK497" i="1"/>
  <c r="AJ497" i="1"/>
  <c r="AJ505" i="1"/>
  <c r="AJ479" i="1"/>
  <c r="AI497" i="1"/>
  <c r="AI509" i="1"/>
  <c r="AH497" i="1"/>
  <c r="AG497" i="1"/>
  <c r="AF497" i="1"/>
  <c r="AF509" i="1"/>
  <c r="AE497" i="1"/>
  <c r="AE509" i="1"/>
  <c r="AD497" i="1"/>
  <c r="AD507" i="1"/>
  <c r="AC497" i="1"/>
  <c r="AB497" i="1"/>
  <c r="AB505" i="1"/>
  <c r="AB479" i="1"/>
  <c r="AA497" i="1"/>
  <c r="AA509" i="1"/>
  <c r="Z497" i="1"/>
  <c r="Y497" i="1"/>
  <c r="X497" i="1"/>
  <c r="X509" i="1"/>
  <c r="W497" i="1"/>
  <c r="W509" i="1"/>
  <c r="V497" i="1"/>
  <c r="V507" i="1"/>
  <c r="U497" i="1"/>
  <c r="T497" i="1"/>
  <c r="T505" i="1"/>
  <c r="T479" i="1"/>
  <c r="S497" i="1"/>
  <c r="S509" i="1"/>
  <c r="R497" i="1"/>
  <c r="Q497" i="1"/>
  <c r="P497" i="1"/>
  <c r="P509" i="1"/>
  <c r="O497" i="1"/>
  <c r="O509" i="1"/>
  <c r="N497" i="1"/>
  <c r="N507" i="1"/>
  <c r="M497" i="1"/>
  <c r="L497" i="1"/>
  <c r="L505" i="1"/>
  <c r="L479" i="1"/>
  <c r="K497" i="1"/>
  <c r="K509" i="1"/>
  <c r="J497" i="1"/>
  <c r="I497" i="1"/>
  <c r="G497" i="1"/>
  <c r="F497" i="1"/>
  <c r="F507" i="1"/>
  <c r="E497" i="1"/>
  <c r="D497" i="1"/>
  <c r="C497" i="1"/>
  <c r="B497" i="1"/>
  <c r="AP492" i="1"/>
  <c r="D492" i="1"/>
  <c r="AD491" i="1"/>
  <c r="I491" i="1"/>
  <c r="D491" i="1"/>
  <c r="AQ490" i="1"/>
  <c r="AH490" i="1"/>
  <c r="AF490" i="1"/>
  <c r="G490" i="1"/>
  <c r="D490" i="1"/>
  <c r="AR489" i="1"/>
  <c r="L489" i="1"/>
  <c r="D489" i="1"/>
  <c r="D488" i="1"/>
  <c r="AX487" i="1"/>
  <c r="AW487" i="1"/>
  <c r="AS487" i="1"/>
  <c r="AO487" i="1"/>
  <c r="AG487" i="1"/>
  <c r="AC487" i="1"/>
  <c r="Z487" i="1"/>
  <c r="Y487" i="1"/>
  <c r="U487" i="1"/>
  <c r="R487" i="1"/>
  <c r="Q487" i="1"/>
  <c r="M487" i="1"/>
  <c r="D487" i="1"/>
  <c r="D486" i="1"/>
  <c r="AP485" i="1"/>
  <c r="J485" i="1"/>
  <c r="D485" i="1"/>
  <c r="D484" i="1"/>
  <c r="AW483" i="1"/>
  <c r="AG483" i="1"/>
  <c r="Q483" i="1"/>
  <c r="D483" i="1"/>
  <c r="D482" i="1"/>
  <c r="D481" i="1"/>
  <c r="D480" i="1"/>
  <c r="D479" i="1"/>
  <c r="D494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G475" i="1"/>
  <c r="F475" i="1"/>
  <c r="AX474" i="1"/>
  <c r="AX476" i="1"/>
  <c r="AW474" i="1"/>
  <c r="AW476" i="1"/>
  <c r="AV474" i="1"/>
  <c r="AV476" i="1"/>
  <c r="AU474" i="1"/>
  <c r="AU476" i="1"/>
  <c r="AT474" i="1"/>
  <c r="AT476" i="1"/>
  <c r="AS474" i="1"/>
  <c r="AS476" i="1"/>
  <c r="AR474" i="1"/>
  <c r="AR476" i="1"/>
  <c r="AQ474" i="1"/>
  <c r="AQ476" i="1"/>
  <c r="AP474" i="1"/>
  <c r="AP476" i="1"/>
  <c r="AO474" i="1"/>
  <c r="AO476" i="1"/>
  <c r="AN474" i="1"/>
  <c r="AN476" i="1"/>
  <c r="AM474" i="1"/>
  <c r="AM476" i="1"/>
  <c r="AL474" i="1"/>
  <c r="AL476" i="1"/>
  <c r="AK474" i="1"/>
  <c r="AK476" i="1"/>
  <c r="AJ474" i="1"/>
  <c r="AJ476" i="1"/>
  <c r="AI474" i="1"/>
  <c r="AI476" i="1"/>
  <c r="AH474" i="1"/>
  <c r="AH476" i="1"/>
  <c r="AG474" i="1"/>
  <c r="AG476" i="1"/>
  <c r="AF474" i="1"/>
  <c r="AF476" i="1"/>
  <c r="AE474" i="1"/>
  <c r="AE476" i="1"/>
  <c r="AD474" i="1"/>
  <c r="AD476" i="1"/>
  <c r="AC474" i="1"/>
  <c r="AC476" i="1"/>
  <c r="AB474" i="1"/>
  <c r="AB476" i="1"/>
  <c r="AA474" i="1"/>
  <c r="AA476" i="1"/>
  <c r="Z474" i="1"/>
  <c r="Z476" i="1"/>
  <c r="Y474" i="1"/>
  <c r="Y476" i="1"/>
  <c r="X474" i="1"/>
  <c r="X476" i="1"/>
  <c r="W474" i="1"/>
  <c r="W476" i="1"/>
  <c r="V474" i="1"/>
  <c r="V476" i="1"/>
  <c r="U474" i="1"/>
  <c r="U476" i="1"/>
  <c r="T474" i="1"/>
  <c r="T476" i="1"/>
  <c r="S474" i="1"/>
  <c r="S476" i="1"/>
  <c r="R474" i="1"/>
  <c r="R476" i="1"/>
  <c r="Q474" i="1"/>
  <c r="Q476" i="1"/>
  <c r="P474" i="1"/>
  <c r="P476" i="1"/>
  <c r="O474" i="1"/>
  <c r="O476" i="1"/>
  <c r="N474" i="1"/>
  <c r="N476" i="1"/>
  <c r="M474" i="1"/>
  <c r="M476" i="1"/>
  <c r="L474" i="1"/>
  <c r="L476" i="1"/>
  <c r="K474" i="1"/>
  <c r="K476" i="1"/>
  <c r="J474" i="1"/>
  <c r="J476" i="1"/>
  <c r="I474" i="1"/>
  <c r="I476" i="1"/>
  <c r="G474" i="1"/>
  <c r="G476" i="1"/>
  <c r="F474" i="1"/>
  <c r="F476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G473" i="1"/>
  <c r="G471" i="1"/>
  <c r="F473" i="1"/>
  <c r="AX472" i="1"/>
  <c r="AW472" i="1"/>
  <c r="AW477" i="1"/>
  <c r="AV472" i="1"/>
  <c r="AU472" i="1"/>
  <c r="AU477" i="1"/>
  <c r="AT472" i="1"/>
  <c r="AS472" i="1"/>
  <c r="AS477" i="1"/>
  <c r="AR472" i="1"/>
  <c r="AQ472" i="1"/>
  <c r="AQ477" i="1"/>
  <c r="AP472" i="1"/>
  <c r="AO472" i="1"/>
  <c r="AO477" i="1"/>
  <c r="AN472" i="1"/>
  <c r="AM472" i="1"/>
  <c r="AM477" i="1"/>
  <c r="AL472" i="1"/>
  <c r="AK472" i="1"/>
  <c r="AK477" i="1"/>
  <c r="AJ472" i="1"/>
  <c r="AI472" i="1"/>
  <c r="AI477" i="1"/>
  <c r="AH472" i="1"/>
  <c r="AG472" i="1"/>
  <c r="AG477" i="1"/>
  <c r="AF472" i="1"/>
  <c r="AE472" i="1"/>
  <c r="AE477" i="1"/>
  <c r="AD472" i="1"/>
  <c r="AC472" i="1"/>
  <c r="AC477" i="1"/>
  <c r="AB472" i="1"/>
  <c r="AA472" i="1"/>
  <c r="AA477" i="1"/>
  <c r="Z472" i="1"/>
  <c r="Y472" i="1"/>
  <c r="Y477" i="1"/>
  <c r="X472" i="1"/>
  <c r="W472" i="1"/>
  <c r="W477" i="1"/>
  <c r="V472" i="1"/>
  <c r="U472" i="1"/>
  <c r="U477" i="1"/>
  <c r="T472" i="1"/>
  <c r="S472" i="1"/>
  <c r="S477" i="1"/>
  <c r="R472" i="1"/>
  <c r="Q472" i="1"/>
  <c r="Q477" i="1"/>
  <c r="P472" i="1"/>
  <c r="O472" i="1"/>
  <c r="O477" i="1"/>
  <c r="N472" i="1"/>
  <c r="M472" i="1"/>
  <c r="M477" i="1"/>
  <c r="L472" i="1"/>
  <c r="K472" i="1"/>
  <c r="K477" i="1"/>
  <c r="J472" i="1"/>
  <c r="I472" i="1"/>
  <c r="I477" i="1"/>
  <c r="G472" i="1"/>
  <c r="F472" i="1"/>
  <c r="F471" i="1"/>
  <c r="AW468" i="1"/>
  <c r="AU468" i="1"/>
  <c r="AS468" i="1"/>
  <c r="AQ468" i="1"/>
  <c r="AO468" i="1"/>
  <c r="AM468" i="1"/>
  <c r="AK468" i="1"/>
  <c r="AI468" i="1"/>
  <c r="AG468" i="1"/>
  <c r="AE468" i="1"/>
  <c r="AC468" i="1"/>
  <c r="AA468" i="1"/>
  <c r="Y468" i="1"/>
  <c r="W468" i="1"/>
  <c r="U468" i="1"/>
  <c r="S468" i="1"/>
  <c r="Q468" i="1"/>
  <c r="M468" i="1"/>
  <c r="K468" i="1"/>
  <c r="I468" i="1"/>
  <c r="AX448" i="1"/>
  <c r="AW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G448" i="1"/>
  <c r="F448" i="1"/>
  <c r="E448" i="1"/>
  <c r="D448" i="1"/>
  <c r="C448" i="1"/>
  <c r="B448" i="1"/>
  <c r="AX447" i="1"/>
  <c r="AW447" i="1"/>
  <c r="AV447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G447" i="1"/>
  <c r="F447" i="1"/>
  <c r="E447" i="1"/>
  <c r="D447" i="1"/>
  <c r="C447" i="1"/>
  <c r="B447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G446" i="1"/>
  <c r="F446" i="1"/>
  <c r="E446" i="1"/>
  <c r="D446" i="1"/>
  <c r="C446" i="1"/>
  <c r="B446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G445" i="1"/>
  <c r="F445" i="1"/>
  <c r="E445" i="1"/>
  <c r="D445" i="1"/>
  <c r="C445" i="1"/>
  <c r="B445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G444" i="1"/>
  <c r="F444" i="1"/>
  <c r="E444" i="1"/>
  <c r="D444" i="1"/>
  <c r="C444" i="1"/>
  <c r="B444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G443" i="1"/>
  <c r="F443" i="1"/>
  <c r="E443" i="1"/>
  <c r="D443" i="1"/>
  <c r="C443" i="1"/>
  <c r="B443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G442" i="1"/>
  <c r="F442" i="1"/>
  <c r="E442" i="1"/>
  <c r="D442" i="1"/>
  <c r="C442" i="1"/>
  <c r="B442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G441" i="1"/>
  <c r="F441" i="1"/>
  <c r="E441" i="1"/>
  <c r="D441" i="1"/>
  <c r="C441" i="1"/>
  <c r="B441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G440" i="1"/>
  <c r="F440" i="1"/>
  <c r="E440" i="1"/>
  <c r="D440" i="1"/>
  <c r="C440" i="1"/>
  <c r="B440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G439" i="1"/>
  <c r="F439" i="1"/>
  <c r="E439" i="1"/>
  <c r="D439" i="1"/>
  <c r="C439" i="1"/>
  <c r="B439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G438" i="1"/>
  <c r="F438" i="1"/>
  <c r="E438" i="1"/>
  <c r="D438" i="1"/>
  <c r="C438" i="1"/>
  <c r="B438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G437" i="1"/>
  <c r="F437" i="1"/>
  <c r="E437" i="1"/>
  <c r="D437" i="1"/>
  <c r="C437" i="1"/>
  <c r="B437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G436" i="1"/>
  <c r="F436" i="1"/>
  <c r="E436" i="1"/>
  <c r="D436" i="1"/>
  <c r="C436" i="1"/>
  <c r="B436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G435" i="1"/>
  <c r="F435" i="1"/>
  <c r="E435" i="1"/>
  <c r="D435" i="1"/>
  <c r="C435" i="1"/>
  <c r="B435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G434" i="1"/>
  <c r="F434" i="1"/>
  <c r="E434" i="1"/>
  <c r="D434" i="1"/>
  <c r="C434" i="1"/>
  <c r="B434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G433" i="1"/>
  <c r="F433" i="1"/>
  <c r="E433" i="1"/>
  <c r="D433" i="1"/>
  <c r="C433" i="1"/>
  <c r="B433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G432" i="1"/>
  <c r="F432" i="1"/>
  <c r="E432" i="1"/>
  <c r="D432" i="1"/>
  <c r="C432" i="1"/>
  <c r="B432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G431" i="1"/>
  <c r="F431" i="1"/>
  <c r="E431" i="1"/>
  <c r="D431" i="1"/>
  <c r="C431" i="1"/>
  <c r="B431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G430" i="1"/>
  <c r="F430" i="1"/>
  <c r="E430" i="1"/>
  <c r="D430" i="1"/>
  <c r="C430" i="1"/>
  <c r="B430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G429" i="1"/>
  <c r="F429" i="1"/>
  <c r="E429" i="1"/>
  <c r="D429" i="1"/>
  <c r="C429" i="1"/>
  <c r="B429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G428" i="1"/>
  <c r="F428" i="1"/>
  <c r="E428" i="1"/>
  <c r="D428" i="1"/>
  <c r="C428" i="1"/>
  <c r="B428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G427" i="1"/>
  <c r="F427" i="1"/>
  <c r="E427" i="1"/>
  <c r="D427" i="1"/>
  <c r="C427" i="1"/>
  <c r="B427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G426" i="1"/>
  <c r="F426" i="1"/>
  <c r="E426" i="1"/>
  <c r="D426" i="1"/>
  <c r="C426" i="1"/>
  <c r="B426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G425" i="1"/>
  <c r="F425" i="1"/>
  <c r="E425" i="1"/>
  <c r="D425" i="1"/>
  <c r="C425" i="1"/>
  <c r="B425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G424" i="1"/>
  <c r="F424" i="1"/>
  <c r="E424" i="1"/>
  <c r="D424" i="1"/>
  <c r="C424" i="1"/>
  <c r="B424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G423" i="1"/>
  <c r="F423" i="1"/>
  <c r="E423" i="1"/>
  <c r="D423" i="1"/>
  <c r="C423" i="1"/>
  <c r="B423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G422" i="1"/>
  <c r="F422" i="1"/>
  <c r="E422" i="1"/>
  <c r="D422" i="1"/>
  <c r="C422" i="1"/>
  <c r="B422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G421" i="1"/>
  <c r="F421" i="1"/>
  <c r="E421" i="1"/>
  <c r="D421" i="1"/>
  <c r="C421" i="1"/>
  <c r="B421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G420" i="1"/>
  <c r="F420" i="1"/>
  <c r="E420" i="1"/>
  <c r="D420" i="1"/>
  <c r="C420" i="1"/>
  <c r="B420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G419" i="1"/>
  <c r="F419" i="1"/>
  <c r="E419" i="1"/>
  <c r="D419" i="1"/>
  <c r="C419" i="1"/>
  <c r="B419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G418" i="1"/>
  <c r="F418" i="1"/>
  <c r="E418" i="1"/>
  <c r="D418" i="1"/>
  <c r="C418" i="1"/>
  <c r="B418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G417" i="1"/>
  <c r="F417" i="1"/>
  <c r="E417" i="1"/>
  <c r="D417" i="1"/>
  <c r="C417" i="1"/>
  <c r="B417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G416" i="1"/>
  <c r="F416" i="1"/>
  <c r="E416" i="1"/>
  <c r="D416" i="1"/>
  <c r="C416" i="1"/>
  <c r="B416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G415" i="1"/>
  <c r="F415" i="1"/>
  <c r="E415" i="1"/>
  <c r="D415" i="1"/>
  <c r="C415" i="1"/>
  <c r="B415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G414" i="1"/>
  <c r="F414" i="1"/>
  <c r="E414" i="1"/>
  <c r="D414" i="1"/>
  <c r="C414" i="1"/>
  <c r="B414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G413" i="1"/>
  <c r="F413" i="1"/>
  <c r="E413" i="1"/>
  <c r="D413" i="1"/>
  <c r="C413" i="1"/>
  <c r="B413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G412" i="1"/>
  <c r="F412" i="1"/>
  <c r="E412" i="1"/>
  <c r="D412" i="1"/>
  <c r="C412" i="1"/>
  <c r="B412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G411" i="1"/>
  <c r="F411" i="1"/>
  <c r="E411" i="1"/>
  <c r="D411" i="1"/>
  <c r="C411" i="1"/>
  <c r="B411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G410" i="1"/>
  <c r="F410" i="1"/>
  <c r="E410" i="1"/>
  <c r="D410" i="1"/>
  <c r="C410" i="1"/>
  <c r="B410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G409" i="1"/>
  <c r="F409" i="1"/>
  <c r="E409" i="1"/>
  <c r="D409" i="1"/>
  <c r="C409" i="1"/>
  <c r="B409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G408" i="1"/>
  <c r="F408" i="1"/>
  <c r="E408" i="1"/>
  <c r="D408" i="1"/>
  <c r="C408" i="1"/>
  <c r="B408" i="1"/>
  <c r="AX407" i="1"/>
  <c r="AX451" i="1"/>
  <c r="AW407" i="1"/>
  <c r="AW452" i="1"/>
  <c r="AV407" i="1"/>
  <c r="AV453" i="1"/>
  <c r="AU407" i="1"/>
  <c r="AU454" i="1"/>
  <c r="AT407" i="1"/>
  <c r="AT451" i="1"/>
  <c r="AS407" i="1"/>
  <c r="AS452" i="1"/>
  <c r="AR407" i="1"/>
  <c r="AR453" i="1"/>
  <c r="AQ407" i="1"/>
  <c r="AQ454" i="1"/>
  <c r="AP407" i="1"/>
  <c r="AP451" i="1"/>
  <c r="AO407" i="1"/>
  <c r="AO452" i="1"/>
  <c r="AN407" i="1"/>
  <c r="AN453" i="1"/>
  <c r="AM407" i="1"/>
  <c r="AM454" i="1"/>
  <c r="AL407" i="1"/>
  <c r="AL451" i="1"/>
  <c r="AK407" i="1"/>
  <c r="AK452" i="1"/>
  <c r="AJ407" i="1"/>
  <c r="AJ453" i="1"/>
  <c r="AI407" i="1"/>
  <c r="AI454" i="1"/>
  <c r="AH407" i="1"/>
  <c r="AH451" i="1"/>
  <c r="AG407" i="1"/>
  <c r="AG452" i="1"/>
  <c r="AF407" i="1"/>
  <c r="AF453" i="1"/>
  <c r="AE407" i="1"/>
  <c r="AE454" i="1"/>
  <c r="AD407" i="1"/>
  <c r="AD451" i="1"/>
  <c r="AC407" i="1"/>
  <c r="AC452" i="1"/>
  <c r="AB407" i="1"/>
  <c r="AB453" i="1"/>
  <c r="AA407" i="1"/>
  <c r="AA454" i="1"/>
  <c r="Z407" i="1"/>
  <c r="Z451" i="1"/>
  <c r="Y407" i="1"/>
  <c r="Y452" i="1"/>
  <c r="X407" i="1"/>
  <c r="X453" i="1"/>
  <c r="W407" i="1"/>
  <c r="W454" i="1"/>
  <c r="V407" i="1"/>
  <c r="V451" i="1"/>
  <c r="U407" i="1"/>
  <c r="U452" i="1"/>
  <c r="T407" i="1"/>
  <c r="T453" i="1"/>
  <c r="S407" i="1"/>
  <c r="S454" i="1"/>
  <c r="R407" i="1"/>
  <c r="R451" i="1"/>
  <c r="Q407" i="1"/>
  <c r="Q452" i="1"/>
  <c r="P407" i="1"/>
  <c r="P453" i="1"/>
  <c r="O407" i="1"/>
  <c r="O454" i="1"/>
  <c r="N407" i="1"/>
  <c r="N451" i="1"/>
  <c r="M407" i="1"/>
  <c r="M452" i="1"/>
  <c r="L407" i="1"/>
  <c r="L453" i="1"/>
  <c r="K407" i="1"/>
  <c r="K454" i="1"/>
  <c r="J407" i="1"/>
  <c r="J451" i="1"/>
  <c r="I407" i="1"/>
  <c r="I452" i="1"/>
  <c r="G407" i="1"/>
  <c r="G454" i="1"/>
  <c r="F407" i="1"/>
  <c r="F451" i="1"/>
  <c r="E407" i="1"/>
  <c r="D407" i="1"/>
  <c r="C407" i="1"/>
  <c r="B407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G396" i="1"/>
  <c r="F396" i="1"/>
  <c r="E396" i="1"/>
  <c r="D396" i="1"/>
  <c r="C396" i="1"/>
  <c r="B396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G395" i="1"/>
  <c r="F395" i="1"/>
  <c r="E395" i="1"/>
  <c r="D395" i="1"/>
  <c r="C395" i="1"/>
  <c r="B395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G394" i="1"/>
  <c r="F394" i="1"/>
  <c r="E394" i="1"/>
  <c r="D394" i="1"/>
  <c r="C394" i="1"/>
  <c r="B394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G393" i="1"/>
  <c r="F393" i="1"/>
  <c r="E393" i="1"/>
  <c r="D393" i="1"/>
  <c r="C393" i="1"/>
  <c r="B393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G392" i="1"/>
  <c r="F392" i="1"/>
  <c r="E392" i="1"/>
  <c r="D392" i="1"/>
  <c r="C392" i="1"/>
  <c r="B392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G391" i="1"/>
  <c r="F391" i="1"/>
  <c r="E391" i="1"/>
  <c r="D391" i="1"/>
  <c r="C391" i="1"/>
  <c r="B391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G390" i="1"/>
  <c r="F390" i="1"/>
  <c r="E390" i="1"/>
  <c r="D390" i="1"/>
  <c r="C390" i="1"/>
  <c r="B390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G389" i="1"/>
  <c r="F389" i="1"/>
  <c r="E389" i="1"/>
  <c r="D389" i="1"/>
  <c r="C389" i="1"/>
  <c r="B389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G388" i="1"/>
  <c r="F388" i="1"/>
  <c r="E388" i="1"/>
  <c r="D388" i="1"/>
  <c r="C388" i="1"/>
  <c r="B388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G387" i="1"/>
  <c r="F387" i="1"/>
  <c r="E387" i="1"/>
  <c r="D387" i="1"/>
  <c r="C387" i="1"/>
  <c r="B387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G386" i="1"/>
  <c r="F386" i="1"/>
  <c r="E386" i="1"/>
  <c r="D386" i="1"/>
  <c r="C386" i="1"/>
  <c r="B386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G385" i="1"/>
  <c r="F385" i="1"/>
  <c r="E385" i="1"/>
  <c r="D385" i="1"/>
  <c r="C385" i="1"/>
  <c r="B385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G384" i="1"/>
  <c r="F384" i="1"/>
  <c r="E384" i="1"/>
  <c r="D384" i="1"/>
  <c r="C384" i="1"/>
  <c r="B384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G383" i="1"/>
  <c r="F383" i="1"/>
  <c r="E383" i="1"/>
  <c r="D383" i="1"/>
  <c r="C383" i="1"/>
  <c r="B383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G382" i="1"/>
  <c r="F382" i="1"/>
  <c r="E382" i="1"/>
  <c r="D382" i="1"/>
  <c r="C382" i="1"/>
  <c r="B382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G381" i="1"/>
  <c r="F381" i="1"/>
  <c r="E381" i="1"/>
  <c r="D381" i="1"/>
  <c r="C381" i="1"/>
  <c r="B381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G380" i="1"/>
  <c r="F380" i="1"/>
  <c r="E380" i="1"/>
  <c r="D380" i="1"/>
  <c r="C380" i="1"/>
  <c r="B380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G379" i="1"/>
  <c r="F379" i="1"/>
  <c r="E379" i="1"/>
  <c r="D379" i="1"/>
  <c r="C379" i="1"/>
  <c r="B379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G378" i="1"/>
  <c r="F378" i="1"/>
  <c r="E378" i="1"/>
  <c r="D378" i="1"/>
  <c r="C378" i="1"/>
  <c r="B378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G377" i="1"/>
  <c r="F377" i="1"/>
  <c r="E377" i="1"/>
  <c r="D377" i="1"/>
  <c r="C377" i="1"/>
  <c r="B377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G376" i="1"/>
  <c r="F376" i="1"/>
  <c r="E376" i="1"/>
  <c r="D376" i="1"/>
  <c r="C376" i="1"/>
  <c r="B376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G375" i="1"/>
  <c r="F375" i="1"/>
  <c r="E375" i="1"/>
  <c r="D375" i="1"/>
  <c r="C375" i="1"/>
  <c r="B375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G374" i="1"/>
  <c r="F374" i="1"/>
  <c r="E374" i="1"/>
  <c r="D374" i="1"/>
  <c r="C374" i="1"/>
  <c r="B374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G373" i="1"/>
  <c r="F373" i="1"/>
  <c r="E373" i="1"/>
  <c r="D373" i="1"/>
  <c r="C373" i="1"/>
  <c r="B373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G372" i="1"/>
  <c r="F372" i="1"/>
  <c r="E372" i="1"/>
  <c r="D372" i="1"/>
  <c r="C372" i="1"/>
  <c r="B372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G371" i="1"/>
  <c r="F371" i="1"/>
  <c r="E371" i="1"/>
  <c r="D371" i="1"/>
  <c r="C371" i="1"/>
  <c r="B371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G370" i="1"/>
  <c r="F370" i="1"/>
  <c r="E370" i="1"/>
  <c r="D370" i="1"/>
  <c r="C370" i="1"/>
  <c r="B370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G369" i="1"/>
  <c r="F369" i="1"/>
  <c r="E369" i="1"/>
  <c r="D369" i="1"/>
  <c r="C369" i="1"/>
  <c r="B369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G368" i="1"/>
  <c r="F368" i="1"/>
  <c r="E368" i="1"/>
  <c r="D368" i="1"/>
  <c r="C368" i="1"/>
  <c r="B368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G367" i="1"/>
  <c r="F367" i="1"/>
  <c r="E367" i="1"/>
  <c r="D367" i="1"/>
  <c r="C367" i="1"/>
  <c r="B367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G366" i="1"/>
  <c r="F366" i="1"/>
  <c r="E366" i="1"/>
  <c r="D366" i="1"/>
  <c r="C366" i="1"/>
  <c r="B366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G365" i="1"/>
  <c r="F365" i="1"/>
  <c r="E365" i="1"/>
  <c r="D365" i="1"/>
  <c r="C365" i="1"/>
  <c r="B365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G364" i="1"/>
  <c r="F364" i="1"/>
  <c r="E364" i="1"/>
  <c r="D364" i="1"/>
  <c r="C364" i="1"/>
  <c r="B364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G363" i="1"/>
  <c r="F363" i="1"/>
  <c r="E363" i="1"/>
  <c r="D363" i="1"/>
  <c r="C363" i="1"/>
  <c r="B363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G362" i="1"/>
  <c r="F362" i="1"/>
  <c r="E362" i="1"/>
  <c r="D362" i="1"/>
  <c r="C362" i="1"/>
  <c r="B362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G361" i="1"/>
  <c r="F361" i="1"/>
  <c r="E361" i="1"/>
  <c r="D361" i="1"/>
  <c r="C361" i="1"/>
  <c r="B361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G360" i="1"/>
  <c r="F360" i="1"/>
  <c r="E360" i="1"/>
  <c r="D360" i="1"/>
  <c r="C360" i="1"/>
  <c r="B360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G359" i="1"/>
  <c r="F359" i="1"/>
  <c r="E359" i="1"/>
  <c r="D359" i="1"/>
  <c r="C359" i="1"/>
  <c r="B359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G358" i="1"/>
  <c r="F358" i="1"/>
  <c r="E358" i="1"/>
  <c r="D358" i="1"/>
  <c r="C358" i="1"/>
  <c r="B358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G357" i="1"/>
  <c r="F357" i="1"/>
  <c r="E357" i="1"/>
  <c r="D357" i="1"/>
  <c r="C357" i="1"/>
  <c r="B357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G356" i="1"/>
  <c r="F356" i="1"/>
  <c r="E356" i="1"/>
  <c r="D356" i="1"/>
  <c r="C356" i="1"/>
  <c r="B356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G355" i="1"/>
  <c r="F355" i="1"/>
  <c r="E355" i="1"/>
  <c r="D355" i="1"/>
  <c r="C355" i="1"/>
  <c r="B355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G354" i="1"/>
  <c r="F354" i="1"/>
  <c r="E354" i="1"/>
  <c r="D354" i="1"/>
  <c r="C354" i="1"/>
  <c r="B354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G353" i="1"/>
  <c r="F353" i="1"/>
  <c r="E353" i="1"/>
  <c r="D353" i="1"/>
  <c r="C353" i="1"/>
  <c r="B353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G352" i="1"/>
  <c r="F352" i="1"/>
  <c r="E352" i="1"/>
  <c r="D352" i="1"/>
  <c r="C352" i="1"/>
  <c r="B352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G351" i="1"/>
  <c r="F351" i="1"/>
  <c r="E351" i="1"/>
  <c r="D351" i="1"/>
  <c r="C351" i="1"/>
  <c r="B351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G350" i="1"/>
  <c r="F350" i="1"/>
  <c r="E350" i="1"/>
  <c r="D350" i="1"/>
  <c r="C350" i="1"/>
  <c r="B350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G349" i="1"/>
  <c r="F349" i="1"/>
  <c r="E349" i="1"/>
  <c r="D349" i="1"/>
  <c r="C349" i="1"/>
  <c r="B349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G348" i="1"/>
  <c r="F348" i="1"/>
  <c r="E348" i="1"/>
  <c r="D348" i="1"/>
  <c r="C348" i="1"/>
  <c r="B348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G347" i="1"/>
  <c r="F347" i="1"/>
  <c r="E347" i="1"/>
  <c r="D347" i="1"/>
  <c r="C347" i="1"/>
  <c r="B347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G346" i="1"/>
  <c r="F346" i="1"/>
  <c r="E346" i="1"/>
  <c r="D346" i="1"/>
  <c r="C346" i="1"/>
  <c r="B346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G345" i="1"/>
  <c r="F345" i="1"/>
  <c r="E345" i="1"/>
  <c r="D345" i="1"/>
  <c r="C345" i="1"/>
  <c r="B345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G344" i="1"/>
  <c r="F344" i="1"/>
  <c r="E344" i="1"/>
  <c r="D344" i="1"/>
  <c r="C344" i="1"/>
  <c r="B344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G343" i="1"/>
  <c r="F343" i="1"/>
  <c r="E343" i="1"/>
  <c r="D343" i="1"/>
  <c r="C343" i="1"/>
  <c r="B343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G342" i="1"/>
  <c r="F342" i="1"/>
  <c r="E342" i="1"/>
  <c r="D342" i="1"/>
  <c r="C342" i="1"/>
  <c r="B342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G341" i="1"/>
  <c r="F341" i="1"/>
  <c r="E341" i="1"/>
  <c r="D341" i="1"/>
  <c r="C341" i="1"/>
  <c r="B341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G340" i="1"/>
  <c r="F340" i="1"/>
  <c r="E340" i="1"/>
  <c r="D340" i="1"/>
  <c r="C340" i="1"/>
  <c r="B340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G339" i="1"/>
  <c r="F339" i="1"/>
  <c r="E339" i="1"/>
  <c r="D339" i="1"/>
  <c r="C339" i="1"/>
  <c r="B339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G338" i="1"/>
  <c r="F338" i="1"/>
  <c r="E338" i="1"/>
  <c r="D338" i="1"/>
  <c r="C338" i="1"/>
  <c r="B338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G337" i="1"/>
  <c r="F337" i="1"/>
  <c r="E337" i="1"/>
  <c r="D337" i="1"/>
  <c r="C337" i="1"/>
  <c r="B337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G336" i="1"/>
  <c r="F336" i="1"/>
  <c r="E336" i="1"/>
  <c r="D336" i="1"/>
  <c r="C336" i="1"/>
  <c r="B336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G335" i="1"/>
  <c r="F335" i="1"/>
  <c r="E335" i="1"/>
  <c r="D335" i="1"/>
  <c r="C335" i="1"/>
  <c r="B335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G334" i="1"/>
  <c r="F334" i="1"/>
  <c r="E334" i="1"/>
  <c r="D334" i="1"/>
  <c r="C334" i="1"/>
  <c r="B334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G333" i="1"/>
  <c r="F333" i="1"/>
  <c r="E333" i="1"/>
  <c r="D333" i="1"/>
  <c r="C333" i="1"/>
  <c r="B333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G332" i="1"/>
  <c r="F332" i="1"/>
  <c r="E332" i="1"/>
  <c r="D332" i="1"/>
  <c r="C332" i="1"/>
  <c r="B332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G331" i="1"/>
  <c r="F331" i="1"/>
  <c r="E331" i="1"/>
  <c r="D331" i="1"/>
  <c r="C331" i="1"/>
  <c r="B331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G330" i="1"/>
  <c r="F330" i="1"/>
  <c r="E330" i="1"/>
  <c r="D330" i="1"/>
  <c r="C330" i="1"/>
  <c r="B330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G329" i="1"/>
  <c r="F329" i="1"/>
  <c r="E329" i="1"/>
  <c r="D329" i="1"/>
  <c r="C329" i="1"/>
  <c r="B329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G328" i="1"/>
  <c r="F328" i="1"/>
  <c r="E328" i="1"/>
  <c r="D328" i="1"/>
  <c r="C328" i="1"/>
  <c r="B328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G327" i="1"/>
  <c r="F327" i="1"/>
  <c r="E327" i="1"/>
  <c r="D327" i="1"/>
  <c r="C327" i="1"/>
  <c r="B327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G326" i="1"/>
  <c r="F326" i="1"/>
  <c r="E326" i="1"/>
  <c r="D326" i="1"/>
  <c r="C326" i="1"/>
  <c r="B326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G325" i="1"/>
  <c r="F325" i="1"/>
  <c r="E325" i="1"/>
  <c r="D325" i="1"/>
  <c r="C325" i="1"/>
  <c r="B325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G324" i="1"/>
  <c r="F324" i="1"/>
  <c r="E324" i="1"/>
  <c r="D324" i="1"/>
  <c r="C324" i="1"/>
  <c r="B324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G323" i="1"/>
  <c r="F323" i="1"/>
  <c r="E323" i="1"/>
  <c r="D323" i="1"/>
  <c r="C323" i="1"/>
  <c r="B323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G322" i="1"/>
  <c r="F322" i="1"/>
  <c r="E322" i="1"/>
  <c r="D322" i="1"/>
  <c r="C322" i="1"/>
  <c r="B322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G321" i="1"/>
  <c r="F321" i="1"/>
  <c r="E321" i="1"/>
  <c r="D321" i="1"/>
  <c r="C321" i="1"/>
  <c r="B321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G320" i="1"/>
  <c r="F320" i="1"/>
  <c r="E320" i="1"/>
  <c r="D320" i="1"/>
  <c r="C320" i="1"/>
  <c r="B320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G319" i="1"/>
  <c r="F319" i="1"/>
  <c r="E319" i="1"/>
  <c r="D319" i="1"/>
  <c r="C319" i="1"/>
  <c r="B319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G318" i="1"/>
  <c r="F318" i="1"/>
  <c r="E318" i="1"/>
  <c r="D318" i="1"/>
  <c r="C318" i="1"/>
  <c r="B318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G317" i="1"/>
  <c r="F317" i="1"/>
  <c r="E317" i="1"/>
  <c r="D317" i="1"/>
  <c r="C317" i="1"/>
  <c r="B317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G316" i="1"/>
  <c r="F316" i="1"/>
  <c r="E316" i="1"/>
  <c r="D316" i="1"/>
  <c r="C316" i="1"/>
  <c r="B316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G315" i="1"/>
  <c r="F315" i="1"/>
  <c r="E315" i="1"/>
  <c r="D315" i="1"/>
  <c r="C315" i="1"/>
  <c r="B315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G314" i="1"/>
  <c r="F314" i="1"/>
  <c r="E314" i="1"/>
  <c r="D314" i="1"/>
  <c r="C314" i="1"/>
  <c r="B314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G313" i="1"/>
  <c r="F313" i="1"/>
  <c r="E313" i="1"/>
  <c r="D313" i="1"/>
  <c r="C313" i="1"/>
  <c r="B313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G312" i="1"/>
  <c r="F312" i="1"/>
  <c r="E312" i="1"/>
  <c r="D312" i="1"/>
  <c r="C312" i="1"/>
  <c r="B312" i="1"/>
  <c r="AX311" i="1"/>
  <c r="AX399" i="1"/>
  <c r="AW311" i="1"/>
  <c r="AW400" i="1"/>
  <c r="AV311" i="1"/>
  <c r="AV401" i="1"/>
  <c r="AU311" i="1"/>
  <c r="AU402" i="1"/>
  <c r="AT311" i="1"/>
  <c r="AT399" i="1"/>
  <c r="AS311" i="1"/>
  <c r="AS400" i="1"/>
  <c r="AR311" i="1"/>
  <c r="AR401" i="1"/>
  <c r="AQ311" i="1"/>
  <c r="AQ402" i="1"/>
  <c r="AP311" i="1"/>
  <c r="AP399" i="1"/>
  <c r="AO311" i="1"/>
  <c r="AO400" i="1"/>
  <c r="AN311" i="1"/>
  <c r="AN401" i="1"/>
  <c r="AM311" i="1"/>
  <c r="AM402" i="1"/>
  <c r="AL311" i="1"/>
  <c r="AL399" i="1"/>
  <c r="AK311" i="1"/>
  <c r="AK400" i="1"/>
  <c r="AJ311" i="1"/>
  <c r="AJ401" i="1"/>
  <c r="AI311" i="1"/>
  <c r="AI402" i="1"/>
  <c r="AH311" i="1"/>
  <c r="AH399" i="1"/>
  <c r="AG311" i="1"/>
  <c r="AG400" i="1"/>
  <c r="AF311" i="1"/>
  <c r="AF401" i="1"/>
  <c r="AE311" i="1"/>
  <c r="AE402" i="1"/>
  <c r="AD311" i="1"/>
  <c r="AD399" i="1"/>
  <c r="AC311" i="1"/>
  <c r="AC400" i="1"/>
  <c r="AB311" i="1"/>
  <c r="AB401" i="1"/>
  <c r="AA311" i="1"/>
  <c r="AA402" i="1"/>
  <c r="Z311" i="1"/>
  <c r="Z399" i="1"/>
  <c r="Y311" i="1"/>
  <c r="Y400" i="1"/>
  <c r="X311" i="1"/>
  <c r="X401" i="1"/>
  <c r="W311" i="1"/>
  <c r="W402" i="1"/>
  <c r="V311" i="1"/>
  <c r="V399" i="1"/>
  <c r="U311" i="1"/>
  <c r="U400" i="1"/>
  <c r="T311" i="1"/>
  <c r="T401" i="1"/>
  <c r="S311" i="1"/>
  <c r="S402" i="1"/>
  <c r="R311" i="1"/>
  <c r="R399" i="1"/>
  <c r="Q311" i="1"/>
  <c r="Q400" i="1"/>
  <c r="P311" i="1"/>
  <c r="P401" i="1"/>
  <c r="O311" i="1"/>
  <c r="O402" i="1"/>
  <c r="N311" i="1"/>
  <c r="N399" i="1"/>
  <c r="M311" i="1"/>
  <c r="M400" i="1"/>
  <c r="L311" i="1"/>
  <c r="L401" i="1"/>
  <c r="K311" i="1"/>
  <c r="K402" i="1"/>
  <c r="J311" i="1"/>
  <c r="I311" i="1"/>
  <c r="I400" i="1"/>
  <c r="G311" i="1"/>
  <c r="G402" i="1"/>
  <c r="F311" i="1"/>
  <c r="F399" i="1"/>
  <c r="E311" i="1"/>
  <c r="D311" i="1"/>
  <c r="C311" i="1"/>
  <c r="B31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G301" i="1"/>
  <c r="F301" i="1"/>
  <c r="E301" i="1"/>
  <c r="D301" i="1"/>
  <c r="C301" i="1"/>
  <c r="B301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G300" i="1"/>
  <c r="F300" i="1"/>
  <c r="E300" i="1"/>
  <c r="D300" i="1"/>
  <c r="C300" i="1"/>
  <c r="B300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G299" i="1"/>
  <c r="F299" i="1"/>
  <c r="E299" i="1"/>
  <c r="D299" i="1"/>
  <c r="C299" i="1"/>
  <c r="B299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G298" i="1"/>
  <c r="F298" i="1"/>
  <c r="E298" i="1"/>
  <c r="D298" i="1"/>
  <c r="C298" i="1"/>
  <c r="B298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G297" i="1"/>
  <c r="F297" i="1"/>
  <c r="E297" i="1"/>
  <c r="D297" i="1"/>
  <c r="C297" i="1"/>
  <c r="B297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G296" i="1"/>
  <c r="F296" i="1"/>
  <c r="E296" i="1"/>
  <c r="D296" i="1"/>
  <c r="C296" i="1"/>
  <c r="B296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G295" i="1"/>
  <c r="F295" i="1"/>
  <c r="E295" i="1"/>
  <c r="D295" i="1"/>
  <c r="C295" i="1"/>
  <c r="B295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G294" i="1"/>
  <c r="F294" i="1"/>
  <c r="E294" i="1"/>
  <c r="D294" i="1"/>
  <c r="C294" i="1"/>
  <c r="B294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G293" i="1"/>
  <c r="F293" i="1"/>
  <c r="E293" i="1"/>
  <c r="D293" i="1"/>
  <c r="C293" i="1"/>
  <c r="B293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G292" i="1"/>
  <c r="F292" i="1"/>
  <c r="E292" i="1"/>
  <c r="D292" i="1"/>
  <c r="C292" i="1"/>
  <c r="B292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G291" i="1"/>
  <c r="F291" i="1"/>
  <c r="E291" i="1"/>
  <c r="D291" i="1"/>
  <c r="C291" i="1"/>
  <c r="B291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G290" i="1"/>
  <c r="F290" i="1"/>
  <c r="E290" i="1"/>
  <c r="D290" i="1"/>
  <c r="C290" i="1"/>
  <c r="B290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G289" i="1"/>
  <c r="F289" i="1"/>
  <c r="E289" i="1"/>
  <c r="D289" i="1"/>
  <c r="C289" i="1"/>
  <c r="B289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G288" i="1"/>
  <c r="F288" i="1"/>
  <c r="E288" i="1"/>
  <c r="D288" i="1"/>
  <c r="C288" i="1"/>
  <c r="B288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G287" i="1"/>
  <c r="F287" i="1"/>
  <c r="E287" i="1"/>
  <c r="D287" i="1"/>
  <c r="C287" i="1"/>
  <c r="B287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G286" i="1"/>
  <c r="F286" i="1"/>
  <c r="E286" i="1"/>
  <c r="D286" i="1"/>
  <c r="C286" i="1"/>
  <c r="B286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G285" i="1"/>
  <c r="F285" i="1"/>
  <c r="E285" i="1"/>
  <c r="D285" i="1"/>
  <c r="C285" i="1"/>
  <c r="B285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G284" i="1"/>
  <c r="F284" i="1"/>
  <c r="E284" i="1"/>
  <c r="D284" i="1"/>
  <c r="C284" i="1"/>
  <c r="B284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G283" i="1"/>
  <c r="F283" i="1"/>
  <c r="E283" i="1"/>
  <c r="D283" i="1"/>
  <c r="C283" i="1"/>
  <c r="B283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G282" i="1"/>
  <c r="F282" i="1"/>
  <c r="E282" i="1"/>
  <c r="D282" i="1"/>
  <c r="C282" i="1"/>
  <c r="B282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G281" i="1"/>
  <c r="F281" i="1"/>
  <c r="E281" i="1"/>
  <c r="D281" i="1"/>
  <c r="C281" i="1"/>
  <c r="B281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G280" i="1"/>
  <c r="F280" i="1"/>
  <c r="E280" i="1"/>
  <c r="D280" i="1"/>
  <c r="C280" i="1"/>
  <c r="B280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G279" i="1"/>
  <c r="F279" i="1"/>
  <c r="E279" i="1"/>
  <c r="D279" i="1"/>
  <c r="C279" i="1"/>
  <c r="B279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G278" i="1"/>
  <c r="F278" i="1"/>
  <c r="E278" i="1"/>
  <c r="D278" i="1"/>
  <c r="C278" i="1"/>
  <c r="B278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G277" i="1"/>
  <c r="F277" i="1"/>
  <c r="E277" i="1"/>
  <c r="D277" i="1"/>
  <c r="C277" i="1"/>
  <c r="B277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G276" i="1"/>
  <c r="F276" i="1"/>
  <c r="E276" i="1"/>
  <c r="D276" i="1"/>
  <c r="C276" i="1"/>
  <c r="B276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G275" i="1"/>
  <c r="F275" i="1"/>
  <c r="E275" i="1"/>
  <c r="D275" i="1"/>
  <c r="C275" i="1"/>
  <c r="B275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G274" i="1"/>
  <c r="F274" i="1"/>
  <c r="E274" i="1"/>
  <c r="D274" i="1"/>
  <c r="C274" i="1"/>
  <c r="B274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G273" i="1"/>
  <c r="F273" i="1"/>
  <c r="E273" i="1"/>
  <c r="D273" i="1"/>
  <c r="C273" i="1"/>
  <c r="B273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G272" i="1"/>
  <c r="F272" i="1"/>
  <c r="E272" i="1"/>
  <c r="D272" i="1"/>
  <c r="C272" i="1"/>
  <c r="B272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G271" i="1"/>
  <c r="F271" i="1"/>
  <c r="E271" i="1"/>
  <c r="D271" i="1"/>
  <c r="C271" i="1"/>
  <c r="B271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G270" i="1"/>
  <c r="F270" i="1"/>
  <c r="E270" i="1"/>
  <c r="D270" i="1"/>
  <c r="C270" i="1"/>
  <c r="B270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G269" i="1"/>
  <c r="F269" i="1"/>
  <c r="E269" i="1"/>
  <c r="D269" i="1"/>
  <c r="C269" i="1"/>
  <c r="B269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G268" i="1"/>
  <c r="F268" i="1"/>
  <c r="E268" i="1"/>
  <c r="D268" i="1"/>
  <c r="C268" i="1"/>
  <c r="B268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G267" i="1"/>
  <c r="F267" i="1"/>
  <c r="E267" i="1"/>
  <c r="D267" i="1"/>
  <c r="C267" i="1"/>
  <c r="B267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G266" i="1"/>
  <c r="F266" i="1"/>
  <c r="E266" i="1"/>
  <c r="D266" i="1"/>
  <c r="C266" i="1"/>
  <c r="B266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G265" i="1"/>
  <c r="F265" i="1"/>
  <c r="E265" i="1"/>
  <c r="D265" i="1"/>
  <c r="C265" i="1"/>
  <c r="B265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G264" i="1"/>
  <c r="F264" i="1"/>
  <c r="E264" i="1"/>
  <c r="D264" i="1"/>
  <c r="C264" i="1"/>
  <c r="B264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G263" i="1"/>
  <c r="F263" i="1"/>
  <c r="E263" i="1"/>
  <c r="D263" i="1"/>
  <c r="C263" i="1"/>
  <c r="B263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G262" i="1"/>
  <c r="F262" i="1"/>
  <c r="E262" i="1"/>
  <c r="D262" i="1"/>
  <c r="C262" i="1"/>
  <c r="B262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G261" i="1"/>
  <c r="F261" i="1"/>
  <c r="E261" i="1"/>
  <c r="D261" i="1"/>
  <c r="C261" i="1"/>
  <c r="B261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G260" i="1"/>
  <c r="F260" i="1"/>
  <c r="E260" i="1"/>
  <c r="D260" i="1"/>
  <c r="C260" i="1"/>
  <c r="B260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G259" i="1"/>
  <c r="F259" i="1"/>
  <c r="E259" i="1"/>
  <c r="D259" i="1"/>
  <c r="C259" i="1"/>
  <c r="B259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G258" i="1"/>
  <c r="F258" i="1"/>
  <c r="E258" i="1"/>
  <c r="D258" i="1"/>
  <c r="C258" i="1"/>
  <c r="B258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G257" i="1"/>
  <c r="F257" i="1"/>
  <c r="E257" i="1"/>
  <c r="D257" i="1"/>
  <c r="C257" i="1"/>
  <c r="B257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G256" i="1"/>
  <c r="F256" i="1"/>
  <c r="E256" i="1"/>
  <c r="D256" i="1"/>
  <c r="C256" i="1"/>
  <c r="B256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G255" i="1"/>
  <c r="F255" i="1"/>
  <c r="E255" i="1"/>
  <c r="D255" i="1"/>
  <c r="C255" i="1"/>
  <c r="B255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G254" i="1"/>
  <c r="F254" i="1"/>
  <c r="E254" i="1"/>
  <c r="D254" i="1"/>
  <c r="C254" i="1"/>
  <c r="B254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G253" i="1"/>
  <c r="F253" i="1"/>
  <c r="E253" i="1"/>
  <c r="D253" i="1"/>
  <c r="C253" i="1"/>
  <c r="B253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G252" i="1"/>
  <c r="F252" i="1"/>
  <c r="E252" i="1"/>
  <c r="D252" i="1"/>
  <c r="C252" i="1"/>
  <c r="B252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G251" i="1"/>
  <c r="F251" i="1"/>
  <c r="E251" i="1"/>
  <c r="D251" i="1"/>
  <c r="C251" i="1"/>
  <c r="B251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G250" i="1"/>
  <c r="F250" i="1"/>
  <c r="E250" i="1"/>
  <c r="D250" i="1"/>
  <c r="C250" i="1"/>
  <c r="B250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G249" i="1"/>
  <c r="F249" i="1"/>
  <c r="E249" i="1"/>
  <c r="D249" i="1"/>
  <c r="C249" i="1"/>
  <c r="B249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G248" i="1"/>
  <c r="F248" i="1"/>
  <c r="E248" i="1"/>
  <c r="D248" i="1"/>
  <c r="C248" i="1"/>
  <c r="B248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G247" i="1"/>
  <c r="F247" i="1"/>
  <c r="E247" i="1"/>
  <c r="D247" i="1"/>
  <c r="C247" i="1"/>
  <c r="B247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G246" i="1"/>
  <c r="F246" i="1"/>
  <c r="E246" i="1"/>
  <c r="D246" i="1"/>
  <c r="C246" i="1"/>
  <c r="B246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G245" i="1"/>
  <c r="F245" i="1"/>
  <c r="E245" i="1"/>
  <c r="D245" i="1"/>
  <c r="C245" i="1"/>
  <c r="B245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G244" i="1"/>
  <c r="F244" i="1"/>
  <c r="E244" i="1"/>
  <c r="D244" i="1"/>
  <c r="C244" i="1"/>
  <c r="B244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G243" i="1"/>
  <c r="F243" i="1"/>
  <c r="E243" i="1"/>
  <c r="D243" i="1"/>
  <c r="C243" i="1"/>
  <c r="B243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G242" i="1"/>
  <c r="F242" i="1"/>
  <c r="E242" i="1"/>
  <c r="D242" i="1"/>
  <c r="C242" i="1"/>
  <c r="B242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G241" i="1"/>
  <c r="F241" i="1"/>
  <c r="E241" i="1"/>
  <c r="D241" i="1"/>
  <c r="C241" i="1"/>
  <c r="B241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G240" i="1"/>
  <c r="F240" i="1"/>
  <c r="E240" i="1"/>
  <c r="D240" i="1"/>
  <c r="C240" i="1"/>
  <c r="B240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G239" i="1"/>
  <c r="F239" i="1"/>
  <c r="E239" i="1"/>
  <c r="D239" i="1"/>
  <c r="C239" i="1"/>
  <c r="B239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G238" i="1"/>
  <c r="F238" i="1"/>
  <c r="E238" i="1"/>
  <c r="D238" i="1"/>
  <c r="C238" i="1"/>
  <c r="B238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G237" i="1"/>
  <c r="F237" i="1"/>
  <c r="E237" i="1"/>
  <c r="D237" i="1"/>
  <c r="C237" i="1"/>
  <c r="B237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G236" i="1"/>
  <c r="F236" i="1"/>
  <c r="E236" i="1"/>
  <c r="D236" i="1"/>
  <c r="C236" i="1"/>
  <c r="B236" i="1"/>
  <c r="AX235" i="1"/>
  <c r="AW235" i="1"/>
  <c r="AW305" i="1"/>
  <c r="AV235" i="1"/>
  <c r="AU235" i="1"/>
  <c r="AT235" i="1"/>
  <c r="AS235" i="1"/>
  <c r="AS305" i="1"/>
  <c r="AR235" i="1"/>
  <c r="AQ235" i="1"/>
  <c r="AP235" i="1"/>
  <c r="AO235" i="1"/>
  <c r="AO305" i="1"/>
  <c r="AN235" i="1"/>
  <c r="AM235" i="1"/>
  <c r="AL235" i="1"/>
  <c r="AK235" i="1"/>
  <c r="AK305" i="1"/>
  <c r="AJ235" i="1"/>
  <c r="AI235" i="1"/>
  <c r="AH235" i="1"/>
  <c r="AG235" i="1"/>
  <c r="AG305" i="1"/>
  <c r="AF235" i="1"/>
  <c r="AE235" i="1"/>
  <c r="AD235" i="1"/>
  <c r="AC235" i="1"/>
  <c r="AC305" i="1"/>
  <c r="AB235" i="1"/>
  <c r="AA235" i="1"/>
  <c r="Z235" i="1"/>
  <c r="Y235" i="1"/>
  <c r="Y305" i="1"/>
  <c r="X235" i="1"/>
  <c r="W235" i="1"/>
  <c r="V235" i="1"/>
  <c r="U235" i="1"/>
  <c r="U305" i="1"/>
  <c r="T235" i="1"/>
  <c r="S235" i="1"/>
  <c r="R235" i="1"/>
  <c r="Q235" i="1"/>
  <c r="Q305" i="1"/>
  <c r="P235" i="1"/>
  <c r="O235" i="1"/>
  <c r="N235" i="1"/>
  <c r="M235" i="1"/>
  <c r="M305" i="1"/>
  <c r="L235" i="1"/>
  <c r="K235" i="1"/>
  <c r="J235" i="1"/>
  <c r="I235" i="1"/>
  <c r="I305" i="1"/>
  <c r="G235" i="1"/>
  <c r="F235" i="1"/>
  <c r="E235" i="1"/>
  <c r="D235" i="1"/>
  <c r="C235" i="1"/>
  <c r="B235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G224" i="1"/>
  <c r="F224" i="1"/>
  <c r="E224" i="1"/>
  <c r="D224" i="1"/>
  <c r="C224" i="1"/>
  <c r="B224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G223" i="1"/>
  <c r="F223" i="1"/>
  <c r="E223" i="1"/>
  <c r="D223" i="1"/>
  <c r="C223" i="1"/>
  <c r="B223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G222" i="1"/>
  <c r="F222" i="1"/>
  <c r="E222" i="1"/>
  <c r="D222" i="1"/>
  <c r="C222" i="1"/>
  <c r="B222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G221" i="1"/>
  <c r="F221" i="1"/>
  <c r="E221" i="1"/>
  <c r="D221" i="1"/>
  <c r="C221" i="1"/>
  <c r="B221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G220" i="1"/>
  <c r="F220" i="1"/>
  <c r="E220" i="1"/>
  <c r="D220" i="1"/>
  <c r="C220" i="1"/>
  <c r="B220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G219" i="1"/>
  <c r="F219" i="1"/>
  <c r="E219" i="1"/>
  <c r="D219" i="1"/>
  <c r="C219" i="1"/>
  <c r="B219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G218" i="1"/>
  <c r="F218" i="1"/>
  <c r="E218" i="1"/>
  <c r="D218" i="1"/>
  <c r="C218" i="1"/>
  <c r="B218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G217" i="1"/>
  <c r="F217" i="1"/>
  <c r="E217" i="1"/>
  <c r="D217" i="1"/>
  <c r="C217" i="1"/>
  <c r="B217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G216" i="1"/>
  <c r="F216" i="1"/>
  <c r="E216" i="1"/>
  <c r="D216" i="1"/>
  <c r="C216" i="1"/>
  <c r="B216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G215" i="1"/>
  <c r="F215" i="1"/>
  <c r="E215" i="1"/>
  <c r="D215" i="1"/>
  <c r="C215" i="1"/>
  <c r="B215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G214" i="1"/>
  <c r="F214" i="1"/>
  <c r="E214" i="1"/>
  <c r="D214" i="1"/>
  <c r="C214" i="1"/>
  <c r="B214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G213" i="1"/>
  <c r="F213" i="1"/>
  <c r="E213" i="1"/>
  <c r="D213" i="1"/>
  <c r="C213" i="1"/>
  <c r="B213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G212" i="1"/>
  <c r="F212" i="1"/>
  <c r="E212" i="1"/>
  <c r="D212" i="1"/>
  <c r="C212" i="1"/>
  <c r="B212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G211" i="1"/>
  <c r="F211" i="1"/>
  <c r="E211" i="1"/>
  <c r="D211" i="1"/>
  <c r="C211" i="1"/>
  <c r="B211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G210" i="1"/>
  <c r="F210" i="1"/>
  <c r="E210" i="1"/>
  <c r="D210" i="1"/>
  <c r="C210" i="1"/>
  <c r="B210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G209" i="1"/>
  <c r="F209" i="1"/>
  <c r="E209" i="1"/>
  <c r="D209" i="1"/>
  <c r="C209" i="1"/>
  <c r="B209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G208" i="1"/>
  <c r="F208" i="1"/>
  <c r="E208" i="1"/>
  <c r="D208" i="1"/>
  <c r="C208" i="1"/>
  <c r="B208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G207" i="1"/>
  <c r="F207" i="1"/>
  <c r="E207" i="1"/>
  <c r="D207" i="1"/>
  <c r="C207" i="1"/>
  <c r="B207" i="1"/>
  <c r="AX206" i="1"/>
  <c r="AX226" i="1"/>
  <c r="AX458" i="1"/>
  <c r="AX465" i="1"/>
  <c r="AW206" i="1"/>
  <c r="AW229" i="1"/>
  <c r="AV206" i="1"/>
  <c r="AU206" i="1"/>
  <c r="AT206" i="1"/>
  <c r="AT228" i="1"/>
  <c r="AS206" i="1"/>
  <c r="AS225" i="1"/>
  <c r="AR206" i="1"/>
  <c r="AQ206" i="1"/>
  <c r="AP206" i="1"/>
  <c r="AP226" i="1"/>
  <c r="AP458" i="1"/>
  <c r="AP465" i="1"/>
  <c r="AO206" i="1"/>
  <c r="AO229" i="1"/>
  <c r="AN206" i="1"/>
  <c r="AM206" i="1"/>
  <c r="AL206" i="1"/>
  <c r="AL228" i="1"/>
  <c r="AK206" i="1"/>
  <c r="AK225" i="1"/>
  <c r="AJ206" i="1"/>
  <c r="AI206" i="1"/>
  <c r="AH206" i="1"/>
  <c r="AH226" i="1"/>
  <c r="AH458" i="1"/>
  <c r="AH465" i="1"/>
  <c r="AG206" i="1"/>
  <c r="AG229" i="1"/>
  <c r="AF206" i="1"/>
  <c r="AE206" i="1"/>
  <c r="AD206" i="1"/>
  <c r="AD230" i="1"/>
  <c r="AC206" i="1"/>
  <c r="AC225" i="1"/>
  <c r="AB206" i="1"/>
  <c r="AA206" i="1"/>
  <c r="Z206" i="1"/>
  <c r="Z226" i="1"/>
  <c r="Z458" i="1"/>
  <c r="Z465" i="1"/>
  <c r="Y206" i="1"/>
  <c r="Y229" i="1"/>
  <c r="X206" i="1"/>
  <c r="W206" i="1"/>
  <c r="V206" i="1"/>
  <c r="V230" i="1"/>
  <c r="U206" i="1"/>
  <c r="U225" i="1"/>
  <c r="T206" i="1"/>
  <c r="S206" i="1"/>
  <c r="R206" i="1"/>
  <c r="R226" i="1"/>
  <c r="R458" i="1"/>
  <c r="R465" i="1"/>
  <c r="Q206" i="1"/>
  <c r="Q229" i="1"/>
  <c r="P206" i="1"/>
  <c r="O206" i="1"/>
  <c r="N206" i="1"/>
  <c r="N230" i="1"/>
  <c r="M206" i="1"/>
  <c r="M225" i="1"/>
  <c r="L206" i="1"/>
  <c r="K206" i="1"/>
  <c r="J206" i="1"/>
  <c r="J226" i="1"/>
  <c r="J458" i="1"/>
  <c r="J465" i="1"/>
  <c r="I206" i="1"/>
  <c r="I229" i="1"/>
  <c r="G206" i="1"/>
  <c r="F206" i="1"/>
  <c r="F230" i="1"/>
  <c r="E206" i="1"/>
  <c r="D206" i="1"/>
  <c r="C206" i="1"/>
  <c r="B206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G195" i="1"/>
  <c r="F195" i="1"/>
  <c r="E195" i="1"/>
  <c r="D195" i="1"/>
  <c r="C195" i="1"/>
  <c r="B195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G194" i="1"/>
  <c r="F194" i="1"/>
  <c r="E194" i="1"/>
  <c r="D194" i="1"/>
  <c r="C194" i="1"/>
  <c r="B194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G193" i="1"/>
  <c r="F193" i="1"/>
  <c r="E193" i="1"/>
  <c r="D193" i="1"/>
  <c r="C193" i="1"/>
  <c r="B193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G192" i="1"/>
  <c r="F192" i="1"/>
  <c r="E192" i="1"/>
  <c r="D192" i="1"/>
  <c r="C192" i="1"/>
  <c r="B192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G191" i="1"/>
  <c r="F191" i="1"/>
  <c r="E191" i="1"/>
  <c r="D191" i="1"/>
  <c r="C191" i="1"/>
  <c r="B191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G190" i="1"/>
  <c r="F190" i="1"/>
  <c r="E190" i="1"/>
  <c r="D190" i="1"/>
  <c r="C190" i="1"/>
  <c r="B190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G189" i="1"/>
  <c r="F189" i="1"/>
  <c r="E189" i="1"/>
  <c r="D189" i="1"/>
  <c r="C189" i="1"/>
  <c r="B189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G188" i="1"/>
  <c r="F188" i="1"/>
  <c r="E188" i="1"/>
  <c r="D188" i="1"/>
  <c r="C188" i="1"/>
  <c r="B188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G187" i="1"/>
  <c r="F187" i="1"/>
  <c r="E187" i="1"/>
  <c r="D187" i="1"/>
  <c r="C187" i="1"/>
  <c r="B187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G186" i="1"/>
  <c r="F186" i="1"/>
  <c r="E186" i="1"/>
  <c r="D186" i="1"/>
  <c r="C186" i="1"/>
  <c r="B186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G185" i="1"/>
  <c r="F185" i="1"/>
  <c r="E185" i="1"/>
  <c r="D185" i="1"/>
  <c r="C185" i="1"/>
  <c r="B185" i="1"/>
  <c r="AX184" i="1"/>
  <c r="AX201" i="1"/>
  <c r="AW184" i="1"/>
  <c r="AW200" i="1"/>
  <c r="AV184" i="1"/>
  <c r="AU184" i="1"/>
  <c r="AU196" i="1"/>
  <c r="AT184" i="1"/>
  <c r="AT198" i="1"/>
  <c r="AS184" i="1"/>
  <c r="AS200" i="1"/>
  <c r="AR184" i="1"/>
  <c r="AQ184" i="1"/>
  <c r="AQ200" i="1"/>
  <c r="AP184" i="1"/>
  <c r="AP200" i="1"/>
  <c r="AO184" i="1"/>
  <c r="AO200" i="1"/>
  <c r="AN184" i="1"/>
  <c r="AM184" i="1"/>
  <c r="AM197" i="1"/>
  <c r="AM457" i="1"/>
  <c r="AM464" i="1"/>
  <c r="AL184" i="1"/>
  <c r="AL197" i="1"/>
  <c r="AL457" i="1"/>
  <c r="AL464" i="1"/>
  <c r="AK184" i="1"/>
  <c r="AK200" i="1"/>
  <c r="AJ184" i="1"/>
  <c r="AI184" i="1"/>
  <c r="AI201" i="1"/>
  <c r="AH184" i="1"/>
  <c r="AH201" i="1"/>
  <c r="AG184" i="1"/>
  <c r="AG200" i="1"/>
  <c r="AF184" i="1"/>
  <c r="AE184" i="1"/>
  <c r="AE196" i="1"/>
  <c r="AD184" i="1"/>
  <c r="AD198" i="1"/>
  <c r="AC184" i="1"/>
  <c r="AC200" i="1"/>
  <c r="AB184" i="1"/>
  <c r="AA184" i="1"/>
  <c r="AA200" i="1"/>
  <c r="Z184" i="1"/>
  <c r="Z200" i="1"/>
  <c r="Y184" i="1"/>
  <c r="Y200" i="1"/>
  <c r="X184" i="1"/>
  <c r="W184" i="1"/>
  <c r="W197" i="1"/>
  <c r="W457" i="1"/>
  <c r="W464" i="1"/>
  <c r="V184" i="1"/>
  <c r="V197" i="1"/>
  <c r="V457" i="1"/>
  <c r="V464" i="1"/>
  <c r="U184" i="1"/>
  <c r="U200" i="1"/>
  <c r="T184" i="1"/>
  <c r="S184" i="1"/>
  <c r="S201" i="1"/>
  <c r="R184" i="1"/>
  <c r="R201" i="1"/>
  <c r="Q184" i="1"/>
  <c r="Q200" i="1"/>
  <c r="P184" i="1"/>
  <c r="O184" i="1"/>
  <c r="O196" i="1"/>
  <c r="N184" i="1"/>
  <c r="N198" i="1"/>
  <c r="M184" i="1"/>
  <c r="M200" i="1"/>
  <c r="L184" i="1"/>
  <c r="K184" i="1"/>
  <c r="K200" i="1"/>
  <c r="J184" i="1"/>
  <c r="J200" i="1"/>
  <c r="I184" i="1"/>
  <c r="I200" i="1"/>
  <c r="G184" i="1"/>
  <c r="G197" i="1"/>
  <c r="F184" i="1"/>
  <c r="F197" i="1"/>
  <c r="U137" i="18"/>
  <c r="E184" i="1"/>
  <c r="D184" i="1"/>
  <c r="C184" i="1"/>
  <c r="B184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G173" i="1"/>
  <c r="F173" i="1"/>
  <c r="E173" i="1"/>
  <c r="D173" i="1"/>
  <c r="C173" i="1"/>
  <c r="B173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G172" i="1"/>
  <c r="F172" i="1"/>
  <c r="E172" i="1"/>
  <c r="D172" i="1"/>
  <c r="C172" i="1"/>
  <c r="B172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G171" i="1"/>
  <c r="F171" i="1"/>
  <c r="E171" i="1"/>
  <c r="D171" i="1"/>
  <c r="C171" i="1"/>
  <c r="B171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G170" i="1"/>
  <c r="F170" i="1"/>
  <c r="E170" i="1"/>
  <c r="D170" i="1"/>
  <c r="C170" i="1"/>
  <c r="B170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G169" i="1"/>
  <c r="F169" i="1"/>
  <c r="E169" i="1"/>
  <c r="D169" i="1"/>
  <c r="C169" i="1"/>
  <c r="B169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G168" i="1"/>
  <c r="F168" i="1"/>
  <c r="E168" i="1"/>
  <c r="D168" i="1"/>
  <c r="C168" i="1"/>
  <c r="B168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G167" i="1"/>
  <c r="F167" i="1"/>
  <c r="E167" i="1"/>
  <c r="D167" i="1"/>
  <c r="C167" i="1"/>
  <c r="B167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G166" i="1"/>
  <c r="F166" i="1"/>
  <c r="E166" i="1"/>
  <c r="D166" i="1"/>
  <c r="C166" i="1"/>
  <c r="B166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G165" i="1"/>
  <c r="F165" i="1"/>
  <c r="E165" i="1"/>
  <c r="D165" i="1"/>
  <c r="C165" i="1"/>
  <c r="B165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G164" i="1"/>
  <c r="F164" i="1"/>
  <c r="E164" i="1"/>
  <c r="D164" i="1"/>
  <c r="C164" i="1"/>
  <c r="B164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G163" i="1"/>
  <c r="F163" i="1"/>
  <c r="E163" i="1"/>
  <c r="D163" i="1"/>
  <c r="C163" i="1"/>
  <c r="B163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G162" i="1"/>
  <c r="F162" i="1"/>
  <c r="E162" i="1"/>
  <c r="D162" i="1"/>
  <c r="C162" i="1"/>
  <c r="B162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G161" i="1"/>
  <c r="F161" i="1"/>
  <c r="E161" i="1"/>
  <c r="D161" i="1"/>
  <c r="C161" i="1"/>
  <c r="B161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G160" i="1"/>
  <c r="F160" i="1"/>
  <c r="E160" i="1"/>
  <c r="D160" i="1"/>
  <c r="C160" i="1"/>
  <c r="B160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G159" i="1"/>
  <c r="F159" i="1"/>
  <c r="E159" i="1"/>
  <c r="D159" i="1"/>
  <c r="C159" i="1"/>
  <c r="B159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G158" i="1"/>
  <c r="F158" i="1"/>
  <c r="E158" i="1"/>
  <c r="D158" i="1"/>
  <c r="C158" i="1"/>
  <c r="B158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G157" i="1"/>
  <c r="F157" i="1"/>
  <c r="E157" i="1"/>
  <c r="D157" i="1"/>
  <c r="C157" i="1"/>
  <c r="B157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G156" i="1"/>
  <c r="F156" i="1"/>
  <c r="E156" i="1"/>
  <c r="D156" i="1"/>
  <c r="C156" i="1"/>
  <c r="B156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G155" i="1"/>
  <c r="F155" i="1"/>
  <c r="E155" i="1"/>
  <c r="D155" i="1"/>
  <c r="C155" i="1"/>
  <c r="B155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G154" i="1"/>
  <c r="F154" i="1"/>
  <c r="E154" i="1"/>
  <c r="D154" i="1"/>
  <c r="C154" i="1"/>
  <c r="B154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G153" i="1"/>
  <c r="F153" i="1"/>
  <c r="E153" i="1"/>
  <c r="D153" i="1"/>
  <c r="C153" i="1"/>
  <c r="B153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G152" i="1"/>
  <c r="F152" i="1"/>
  <c r="E152" i="1"/>
  <c r="D152" i="1"/>
  <c r="C152" i="1"/>
  <c r="B152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G151" i="1"/>
  <c r="F151" i="1"/>
  <c r="E151" i="1"/>
  <c r="D151" i="1"/>
  <c r="C151" i="1"/>
  <c r="B151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G149" i="1"/>
  <c r="F149" i="1"/>
  <c r="E149" i="1"/>
  <c r="D149" i="1"/>
  <c r="C149" i="1"/>
  <c r="B149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G148" i="1"/>
  <c r="F148" i="1"/>
  <c r="E148" i="1"/>
  <c r="D148" i="1"/>
  <c r="C148" i="1"/>
  <c r="B148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G146" i="1"/>
  <c r="F146" i="1"/>
  <c r="E146" i="1"/>
  <c r="D146" i="1"/>
  <c r="C146" i="1"/>
  <c r="B146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G145" i="1"/>
  <c r="F145" i="1"/>
  <c r="E145" i="1"/>
  <c r="D145" i="1"/>
  <c r="C145" i="1"/>
  <c r="B145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G144" i="1"/>
  <c r="F144" i="1"/>
  <c r="E144" i="1"/>
  <c r="D144" i="1"/>
  <c r="C144" i="1"/>
  <c r="B144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G138" i="1"/>
  <c r="F138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G137" i="1"/>
  <c r="F137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G136" i="1"/>
  <c r="F136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G135" i="1"/>
  <c r="F135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G134" i="1"/>
  <c r="F134" i="1"/>
  <c r="H134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G133" i="1"/>
  <c r="F133" i="1"/>
  <c r="H132" i="1"/>
  <c r="H131" i="1"/>
  <c r="H130" i="1"/>
  <c r="H195" i="1"/>
  <c r="H129" i="1"/>
  <c r="H128" i="1"/>
  <c r="H127" i="1"/>
  <c r="H126" i="1"/>
  <c r="H125" i="1"/>
  <c r="H124" i="1"/>
  <c r="H171" i="1"/>
  <c r="H123" i="1"/>
  <c r="H122" i="1"/>
  <c r="H121" i="1"/>
  <c r="H120" i="1"/>
  <c r="H119" i="1"/>
  <c r="H118" i="1"/>
  <c r="H117" i="1"/>
  <c r="H116" i="1"/>
  <c r="H115" i="1"/>
  <c r="H222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66" i="1"/>
  <c r="H101" i="1"/>
  <c r="H100" i="1"/>
  <c r="H99" i="1"/>
  <c r="H98" i="1"/>
  <c r="H191" i="1"/>
  <c r="H97" i="1"/>
  <c r="H96" i="1"/>
  <c r="H95" i="1"/>
  <c r="H94" i="1"/>
  <c r="H93" i="1"/>
  <c r="H92" i="1"/>
  <c r="H91" i="1"/>
  <c r="H162" i="1"/>
  <c r="H90" i="1"/>
  <c r="H89" i="1"/>
  <c r="H190" i="1"/>
  <c r="H88" i="1"/>
  <c r="H87" i="1"/>
  <c r="H86" i="1"/>
  <c r="H85" i="1"/>
  <c r="H218" i="1"/>
  <c r="H84" i="1"/>
  <c r="H83" i="1"/>
  <c r="H82" i="1"/>
  <c r="H81" i="1"/>
  <c r="H80" i="1"/>
  <c r="H79" i="1"/>
  <c r="H78" i="1"/>
  <c r="H216" i="1"/>
  <c r="H77" i="1"/>
  <c r="H76" i="1"/>
  <c r="H75" i="1"/>
  <c r="H74" i="1"/>
  <c r="H159" i="1"/>
  <c r="H73" i="1"/>
  <c r="H72" i="1"/>
  <c r="H71" i="1"/>
  <c r="H70" i="1"/>
  <c r="H158" i="1"/>
  <c r="H69" i="1"/>
  <c r="H68" i="1"/>
  <c r="H67" i="1"/>
  <c r="H214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212" i="1"/>
  <c r="H41" i="1"/>
  <c r="H40" i="1"/>
  <c r="H151" i="1"/>
  <c r="H39" i="1"/>
  <c r="H38" i="1"/>
  <c r="H37" i="1"/>
  <c r="H36" i="1"/>
  <c r="H35" i="1"/>
  <c r="H211" i="1"/>
  <c r="H34" i="1"/>
  <c r="H250" i="1"/>
  <c r="H33" i="1"/>
  <c r="H32" i="1"/>
  <c r="H31" i="1"/>
  <c r="H30" i="1"/>
  <c r="H184" i="1"/>
  <c r="H29" i="1"/>
  <c r="H28" i="1"/>
  <c r="H27" i="1"/>
  <c r="H26" i="1"/>
  <c r="H148" i="1"/>
  <c r="H25" i="1"/>
  <c r="H24" i="1"/>
  <c r="H23" i="1"/>
  <c r="H22" i="1"/>
  <c r="H146" i="1"/>
  <c r="H21" i="1"/>
  <c r="H20" i="1"/>
  <c r="H19" i="1"/>
  <c r="H18" i="1"/>
  <c r="H17" i="1"/>
  <c r="H16" i="1"/>
  <c r="H15" i="1"/>
  <c r="H14" i="1"/>
  <c r="H13" i="1"/>
  <c r="H12" i="1"/>
  <c r="H11" i="1"/>
  <c r="H10" i="1"/>
  <c r="H144" i="1"/>
  <c r="H9" i="1"/>
  <c r="H238" i="1"/>
  <c r="H8" i="1"/>
  <c r="H7" i="1"/>
  <c r="H206" i="1"/>
  <c r="H6" i="1"/>
  <c r="H138" i="1"/>
  <c r="H5" i="1"/>
  <c r="AT685" i="1"/>
  <c r="G179" i="1"/>
  <c r="L176" i="1"/>
  <c r="P179" i="1"/>
  <c r="T175" i="1"/>
  <c r="T456" i="1"/>
  <c r="T463" i="1"/>
  <c r="X178" i="1"/>
  <c r="AB176" i="1"/>
  <c r="AF179" i="1"/>
  <c r="AJ175" i="1"/>
  <c r="AJ456" i="1"/>
  <c r="AJ463" i="1"/>
  <c r="AN178" i="1"/>
  <c r="AR176" i="1"/>
  <c r="AV179" i="1"/>
  <c r="AX686" i="1"/>
  <c r="AM727" i="1"/>
  <c r="G457" i="1"/>
  <c r="G464" i="1"/>
  <c r="V137" i="18"/>
  <c r="L738" i="1"/>
  <c r="AB738" i="1"/>
  <c r="R686" i="1"/>
  <c r="AR738" i="1"/>
  <c r="O468" i="1"/>
  <c r="AM504" i="1"/>
  <c r="AA508" i="1"/>
  <c r="L541" i="1"/>
  <c r="P541" i="1"/>
  <c r="T541" i="1"/>
  <c r="X541" i="1"/>
  <c r="AB541" i="1"/>
  <c r="AF541" i="1"/>
  <c r="AJ541" i="1"/>
  <c r="AN541" i="1"/>
  <c r="AR541" i="1"/>
  <c r="AV541" i="1"/>
  <c r="G604" i="1"/>
  <c r="P175" i="1"/>
  <c r="P456" i="1"/>
  <c r="P463" i="1"/>
  <c r="X176" i="1"/>
  <c r="AF175" i="1"/>
  <c r="AF456" i="1"/>
  <c r="AF463" i="1"/>
  <c r="AJ178" i="1"/>
  <c r="AV175" i="1"/>
  <c r="AV456" i="1"/>
  <c r="AV463" i="1"/>
  <c r="J399" i="1"/>
  <c r="M179" i="1"/>
  <c r="Y174" i="1"/>
  <c r="AG175" i="1"/>
  <c r="AG456" i="1"/>
  <c r="AG463" i="1"/>
  <c r="AK178" i="1"/>
  <c r="AS179" i="1"/>
  <c r="F457" i="1"/>
  <c r="F464" i="1"/>
  <c r="H197" i="1"/>
  <c r="K504" i="1"/>
  <c r="O508" i="1"/>
  <c r="S504" i="1"/>
  <c r="W508" i="1"/>
  <c r="AA504" i="1"/>
  <c r="AE508" i="1"/>
  <c r="AI504" i="1"/>
  <c r="AM508" i="1"/>
  <c r="AQ504" i="1"/>
  <c r="AU508" i="1"/>
  <c r="O504" i="1"/>
  <c r="AU504" i="1"/>
  <c r="AI508" i="1"/>
  <c r="I606" i="1"/>
  <c r="M606" i="1"/>
  <c r="Q606" i="1"/>
  <c r="U606" i="1"/>
  <c r="Y606" i="1"/>
  <c r="AC606" i="1"/>
  <c r="AG606" i="1"/>
  <c r="AK606" i="1"/>
  <c r="AO606" i="1"/>
  <c r="AS606" i="1"/>
  <c r="AW606" i="1"/>
  <c r="L179" i="1"/>
  <c r="T178" i="1"/>
  <c r="AB179" i="1"/>
  <c r="AN176" i="1"/>
  <c r="AR179" i="1"/>
  <c r="I174" i="1"/>
  <c r="Q175" i="1"/>
  <c r="Q456" i="1"/>
  <c r="Q463" i="1"/>
  <c r="U178" i="1"/>
  <c r="AC179" i="1"/>
  <c r="AO174" i="1"/>
  <c r="AW175" i="1"/>
  <c r="AW456" i="1"/>
  <c r="AW463" i="1"/>
  <c r="J178" i="1"/>
  <c r="R174" i="1"/>
  <c r="Z178" i="1"/>
  <c r="AH174" i="1"/>
  <c r="AP177" i="1"/>
  <c r="T198" i="1"/>
  <c r="X196" i="1"/>
  <c r="AB199" i="1"/>
  <c r="AJ198" i="1"/>
  <c r="AN196" i="1"/>
  <c r="AR199" i="1"/>
  <c r="G508" i="1"/>
  <c r="P507" i="1"/>
  <c r="X507" i="1"/>
  <c r="AF507" i="1"/>
  <c r="AN507" i="1"/>
  <c r="AV507" i="1"/>
  <c r="G504" i="1"/>
  <c r="W504" i="1"/>
  <c r="K508" i="1"/>
  <c r="AQ508" i="1"/>
  <c r="J527" i="1"/>
  <c r="N527" i="1"/>
  <c r="R527" i="1"/>
  <c r="V527" i="1"/>
  <c r="Z527" i="1"/>
  <c r="AD527" i="1"/>
  <c r="AH527" i="1"/>
  <c r="AL527" i="1"/>
  <c r="AP527" i="1"/>
  <c r="AT527" i="1"/>
  <c r="AX527" i="1"/>
  <c r="J543" i="1"/>
  <c r="N543" i="1"/>
  <c r="R543" i="1"/>
  <c r="V543" i="1"/>
  <c r="Z543" i="1"/>
  <c r="AD543" i="1"/>
  <c r="AH543" i="1"/>
  <c r="AL543" i="1"/>
  <c r="AP543" i="1"/>
  <c r="AT543" i="1"/>
  <c r="AX543" i="1"/>
  <c r="K179" i="1"/>
  <c r="O177" i="1"/>
  <c r="W179" i="1"/>
  <c r="AA179" i="1"/>
  <c r="AE177" i="1"/>
  <c r="AM176" i="1"/>
  <c r="AQ177" i="1"/>
  <c r="AU177" i="1"/>
  <c r="I199" i="1"/>
  <c r="M199" i="1"/>
  <c r="Q198" i="1"/>
  <c r="U201" i="1"/>
  <c r="Y199" i="1"/>
  <c r="AC199" i="1"/>
  <c r="AG198" i="1"/>
  <c r="AK201" i="1"/>
  <c r="AO199" i="1"/>
  <c r="AS199" i="1"/>
  <c r="AW198" i="1"/>
  <c r="I506" i="1"/>
  <c r="M508" i="1"/>
  <c r="Q506" i="1"/>
  <c r="U508" i="1"/>
  <c r="Y506" i="1"/>
  <c r="AC508" i="1"/>
  <c r="AG506" i="1"/>
  <c r="AK508" i="1"/>
  <c r="AO506" i="1"/>
  <c r="AS508" i="1"/>
  <c r="AW506" i="1"/>
  <c r="M506" i="1"/>
  <c r="U506" i="1"/>
  <c r="AC506" i="1"/>
  <c r="AK506" i="1"/>
  <c r="AS506" i="1"/>
  <c r="AE504" i="1"/>
  <c r="S508" i="1"/>
  <c r="F527" i="1"/>
  <c r="F543" i="1"/>
  <c r="K604" i="1"/>
  <c r="O604" i="1"/>
  <c r="S604" i="1"/>
  <c r="W604" i="1"/>
  <c r="AA604" i="1"/>
  <c r="AE604" i="1"/>
  <c r="N686" i="1"/>
  <c r="V686" i="1"/>
  <c r="AD686" i="1"/>
  <c r="AL686" i="1"/>
  <c r="AT686" i="1"/>
  <c r="V685" i="1"/>
  <c r="AH685" i="1"/>
  <c r="AX685" i="1"/>
  <c r="AH686" i="1"/>
  <c r="AC687" i="1"/>
  <c r="L697" i="1"/>
  <c r="P695" i="1"/>
  <c r="P490" i="1"/>
  <c r="T694" i="1"/>
  <c r="X697" i="1"/>
  <c r="AB695" i="1"/>
  <c r="AB490" i="1"/>
  <c r="AF698" i="1"/>
  <c r="AN694" i="1"/>
  <c r="AR697" i="1"/>
  <c r="AV695" i="1"/>
  <c r="AV490" i="1"/>
  <c r="AJ694" i="1"/>
  <c r="O713" i="1"/>
  <c r="W712" i="1"/>
  <c r="AA710" i="1"/>
  <c r="AE713" i="1"/>
  <c r="AI714" i="1"/>
  <c r="AM712" i="1"/>
  <c r="AQ714" i="1"/>
  <c r="AL715" i="1"/>
  <c r="J728" i="1"/>
  <c r="J492" i="1"/>
  <c r="N728" i="1"/>
  <c r="N492" i="1"/>
  <c r="R728" i="1"/>
  <c r="R492" i="1"/>
  <c r="Z728" i="1"/>
  <c r="Z492" i="1"/>
  <c r="AH728" i="1"/>
  <c r="AH492" i="1"/>
  <c r="AT728" i="1"/>
  <c r="AT492" i="1"/>
  <c r="AX728" i="1"/>
  <c r="AX492" i="1"/>
  <c r="P738" i="1"/>
  <c r="AF738" i="1"/>
  <c r="AV738" i="1"/>
  <c r="S739" i="1"/>
  <c r="S493" i="1"/>
  <c r="AI739" i="1"/>
  <c r="AI493" i="1"/>
  <c r="AG741" i="1"/>
  <c r="P742" i="1"/>
  <c r="AF742" i="1"/>
  <c r="AV742" i="1"/>
  <c r="S743" i="1"/>
  <c r="AI743" i="1"/>
  <c r="AI604" i="1"/>
  <c r="AM604" i="1"/>
  <c r="AQ604" i="1"/>
  <c r="AU604" i="1"/>
  <c r="K685" i="1"/>
  <c r="O685" i="1"/>
  <c r="S685" i="1"/>
  <c r="W688" i="1"/>
  <c r="AA685" i="1"/>
  <c r="AE684" i="1"/>
  <c r="AE489" i="1"/>
  <c r="AI685" i="1"/>
  <c r="AM685" i="1"/>
  <c r="AQ685" i="1"/>
  <c r="AU685" i="1"/>
  <c r="F686" i="1"/>
  <c r="J685" i="1"/>
  <c r="Z685" i="1"/>
  <c r="AL685" i="1"/>
  <c r="Z686" i="1"/>
  <c r="I694" i="1"/>
  <c r="M697" i="1"/>
  <c r="U698" i="1"/>
  <c r="Y696" i="1"/>
  <c r="AC694" i="1"/>
  <c r="AG697" i="1"/>
  <c r="AK696" i="1"/>
  <c r="AO694" i="1"/>
  <c r="AS697" i="1"/>
  <c r="I696" i="1"/>
  <c r="M694" i="1"/>
  <c r="Q697" i="1"/>
  <c r="U696" i="1"/>
  <c r="Y698" i="1"/>
  <c r="AC697" i="1"/>
  <c r="AK698" i="1"/>
  <c r="AO696" i="1"/>
  <c r="AS694" i="1"/>
  <c r="AW697" i="1"/>
  <c r="AB712" i="1"/>
  <c r="G712" i="1"/>
  <c r="K731" i="1"/>
  <c r="O731" i="1"/>
  <c r="S727" i="1"/>
  <c r="W731" i="1"/>
  <c r="AA731" i="1"/>
  <c r="AE731" i="1"/>
  <c r="AI727" i="1"/>
  <c r="AQ727" i="1"/>
  <c r="AU731" i="1"/>
  <c r="F728" i="1"/>
  <c r="G727" i="1"/>
  <c r="S731" i="1"/>
  <c r="I741" i="1"/>
  <c r="U741" i="1"/>
  <c r="Y741" i="1"/>
  <c r="AK741" i="1"/>
  <c r="AO741" i="1"/>
  <c r="T738" i="1"/>
  <c r="AJ738" i="1"/>
  <c r="G739" i="1"/>
  <c r="G493" i="1"/>
  <c r="W739" i="1"/>
  <c r="W493" i="1"/>
  <c r="AM739" i="1"/>
  <c r="AM493" i="1"/>
  <c r="M741" i="1"/>
  <c r="AS741" i="1"/>
  <c r="T742" i="1"/>
  <c r="AJ742" i="1"/>
  <c r="G743" i="1"/>
  <c r="W743" i="1"/>
  <c r="AM743" i="1"/>
  <c r="G685" i="1"/>
  <c r="N685" i="1"/>
  <c r="AD685" i="1"/>
  <c r="AP685" i="1"/>
  <c r="J686" i="1"/>
  <c r="AP686" i="1"/>
  <c r="AG710" i="1"/>
  <c r="G732" i="1"/>
  <c r="P730" i="1"/>
  <c r="AF730" i="1"/>
  <c r="AJ731" i="1"/>
  <c r="AV730" i="1"/>
  <c r="W727" i="1"/>
  <c r="AU732" i="1"/>
  <c r="X738" i="1"/>
  <c r="AN738" i="1"/>
  <c r="K739" i="1"/>
  <c r="K493" i="1"/>
  <c r="AA739" i="1"/>
  <c r="AA493" i="1"/>
  <c r="AQ739" i="1"/>
  <c r="AQ493" i="1"/>
  <c r="Q741" i="1"/>
  <c r="AW741" i="1"/>
  <c r="X742" i="1"/>
  <c r="AN742" i="1"/>
  <c r="K743" i="1"/>
  <c r="AA743" i="1"/>
  <c r="AQ743" i="1"/>
  <c r="I729" i="1"/>
  <c r="Y729" i="1"/>
  <c r="AO729" i="1"/>
  <c r="M729" i="1"/>
  <c r="AC729" i="1"/>
  <c r="AS729" i="1"/>
  <c r="O739" i="1"/>
  <c r="O493" i="1"/>
  <c r="AE739" i="1"/>
  <c r="AE493" i="1"/>
  <c r="AU739" i="1"/>
  <c r="AU493" i="1"/>
  <c r="AC741" i="1"/>
  <c r="L742" i="1"/>
  <c r="AB742" i="1"/>
  <c r="AR742" i="1"/>
  <c r="O743" i="1"/>
  <c r="AE743" i="1"/>
  <c r="AU743" i="1"/>
  <c r="H609" i="1"/>
  <c r="H316" i="1"/>
  <c r="H239" i="1"/>
  <c r="H662" i="1"/>
  <c r="H412" i="1"/>
  <c r="H630" i="1"/>
  <c r="H339" i="1"/>
  <c r="H256" i="1"/>
  <c r="H702" i="1"/>
  <c r="H417" i="1"/>
  <c r="H562" i="1"/>
  <c r="H363" i="1"/>
  <c r="H276" i="1"/>
  <c r="H613" i="1"/>
  <c r="H286" i="1"/>
  <c r="H376" i="1"/>
  <c r="H586" i="1"/>
  <c r="H294" i="1"/>
  <c r="H388" i="1"/>
  <c r="H133" i="1"/>
  <c r="F179" i="1"/>
  <c r="F175" i="1"/>
  <c r="V179" i="1"/>
  <c r="V175" i="1"/>
  <c r="V456" i="1"/>
  <c r="V463" i="1"/>
  <c r="AL179" i="1"/>
  <c r="AL175" i="1"/>
  <c r="AL456" i="1"/>
  <c r="AL463" i="1"/>
  <c r="AX179" i="1"/>
  <c r="AX175" i="1"/>
  <c r="AX456" i="1"/>
  <c r="AX463" i="1"/>
  <c r="F174" i="1"/>
  <c r="L174" i="1"/>
  <c r="Q174" i="1"/>
  <c r="V174" i="1"/>
  <c r="AB174" i="1"/>
  <c r="AG174" i="1"/>
  <c r="AL174" i="1"/>
  <c r="AR174" i="1"/>
  <c r="AW174" i="1"/>
  <c r="I175" i="1"/>
  <c r="I456" i="1"/>
  <c r="I463" i="1"/>
  <c r="O175" i="1"/>
  <c r="O456" i="1"/>
  <c r="O463" i="1"/>
  <c r="Y175" i="1"/>
  <c r="Y456" i="1"/>
  <c r="Y463" i="1"/>
  <c r="AE175" i="1"/>
  <c r="AE456" i="1"/>
  <c r="AE463" i="1"/>
  <c r="AO175" i="1"/>
  <c r="AO456" i="1"/>
  <c r="AO463" i="1"/>
  <c r="AU175" i="1"/>
  <c r="AU456" i="1"/>
  <c r="AU463" i="1"/>
  <c r="G176" i="1"/>
  <c r="R176" i="1"/>
  <c r="W176" i="1"/>
  <c r="AH176" i="1"/>
  <c r="AX176" i="1"/>
  <c r="J177" i="1"/>
  <c r="U177" i="1"/>
  <c r="Z177" i="1"/>
  <c r="AK177" i="1"/>
  <c r="M178" i="1"/>
  <c r="R178" i="1"/>
  <c r="AC178" i="1"/>
  <c r="AH178" i="1"/>
  <c r="AS178" i="1"/>
  <c r="AX178" i="1"/>
  <c r="U179" i="1"/>
  <c r="AK179" i="1"/>
  <c r="AQ179" i="1"/>
  <c r="L201" i="1"/>
  <c r="L197" i="1"/>
  <c r="L457" i="1"/>
  <c r="L464" i="1"/>
  <c r="P201" i="1"/>
  <c r="P197" i="1"/>
  <c r="P457" i="1"/>
  <c r="P464" i="1"/>
  <c r="T201" i="1"/>
  <c r="T197" i="1"/>
  <c r="T457" i="1"/>
  <c r="T464" i="1"/>
  <c r="X201" i="1"/>
  <c r="X197" i="1"/>
  <c r="X457" i="1"/>
  <c r="X464" i="1"/>
  <c r="AB201" i="1"/>
  <c r="AB197" i="1"/>
  <c r="AB457" i="1"/>
  <c r="AB464" i="1"/>
  <c r="AF201" i="1"/>
  <c r="AF197" i="1"/>
  <c r="AF457" i="1"/>
  <c r="AF464" i="1"/>
  <c r="AJ201" i="1"/>
  <c r="AJ197" i="1"/>
  <c r="AJ457" i="1"/>
  <c r="AJ464" i="1"/>
  <c r="AN201" i="1"/>
  <c r="AN197" i="1"/>
  <c r="AN457" i="1"/>
  <c r="AN464" i="1"/>
  <c r="AR201" i="1"/>
  <c r="AR197" i="1"/>
  <c r="AR457" i="1"/>
  <c r="AR464" i="1"/>
  <c r="AV201" i="1"/>
  <c r="AV197" i="1"/>
  <c r="AV457" i="1"/>
  <c r="AV464" i="1"/>
  <c r="G196" i="1"/>
  <c r="L196" i="1"/>
  <c r="R196" i="1"/>
  <c r="W196" i="1"/>
  <c r="AB196" i="1"/>
  <c r="AH196" i="1"/>
  <c r="AM196" i="1"/>
  <c r="AR196" i="1"/>
  <c r="AX196" i="1"/>
  <c r="J197" i="1"/>
  <c r="J457" i="1"/>
  <c r="J464" i="1"/>
  <c r="O197" i="1"/>
  <c r="O457" i="1"/>
  <c r="O464" i="1"/>
  <c r="U197" i="1"/>
  <c r="U457" i="1"/>
  <c r="U464" i="1"/>
  <c r="Z197" i="1"/>
  <c r="Z457" i="1"/>
  <c r="Z464" i="1"/>
  <c r="AE197" i="1"/>
  <c r="AE457" i="1"/>
  <c r="AE464" i="1"/>
  <c r="AK197" i="1"/>
  <c r="AK457" i="1"/>
  <c r="AK464" i="1"/>
  <c r="AP197" i="1"/>
  <c r="AP457" i="1"/>
  <c r="AP464" i="1"/>
  <c r="AU197" i="1"/>
  <c r="AU457" i="1"/>
  <c r="AU464" i="1"/>
  <c r="M198" i="1"/>
  <c r="R198" i="1"/>
  <c r="X198" i="1"/>
  <c r="AC198" i="1"/>
  <c r="AH198" i="1"/>
  <c r="AN198" i="1"/>
  <c r="AS198" i="1"/>
  <c r="AX198" i="1"/>
  <c r="K199" i="1"/>
  <c r="P199" i="1"/>
  <c r="U199" i="1"/>
  <c r="AA199" i="1"/>
  <c r="AF199" i="1"/>
  <c r="AK199" i="1"/>
  <c r="AQ199" i="1"/>
  <c r="AV199" i="1"/>
  <c r="N200" i="1"/>
  <c r="S200" i="1"/>
  <c r="X200" i="1"/>
  <c r="AD200" i="1"/>
  <c r="AI200" i="1"/>
  <c r="AN200" i="1"/>
  <c r="AT200" i="1"/>
  <c r="F201" i="1"/>
  <c r="K201" i="1"/>
  <c r="Q201" i="1"/>
  <c r="V201" i="1"/>
  <c r="AA201" i="1"/>
  <c r="AG201" i="1"/>
  <c r="AL201" i="1"/>
  <c r="AQ201" i="1"/>
  <c r="AW201" i="1"/>
  <c r="L229" i="1"/>
  <c r="L225" i="1"/>
  <c r="L227" i="1"/>
  <c r="P229" i="1"/>
  <c r="P225" i="1"/>
  <c r="P227" i="1"/>
  <c r="T229" i="1"/>
  <c r="T225" i="1"/>
  <c r="T227" i="1"/>
  <c r="X229" i="1"/>
  <c r="X225" i="1"/>
  <c r="X227" i="1"/>
  <c r="AB229" i="1"/>
  <c r="AB225" i="1"/>
  <c r="AB227" i="1"/>
  <c r="AF229" i="1"/>
  <c r="AF225" i="1"/>
  <c r="AF227" i="1"/>
  <c r="AJ229" i="1"/>
  <c r="AJ225" i="1"/>
  <c r="AJ227" i="1"/>
  <c r="AN229" i="1"/>
  <c r="AN225" i="1"/>
  <c r="AN227" i="1"/>
  <c r="AR229" i="1"/>
  <c r="AR225" i="1"/>
  <c r="AR227" i="1"/>
  <c r="AV229" i="1"/>
  <c r="AV225" i="1"/>
  <c r="AV227" i="1"/>
  <c r="G228" i="1"/>
  <c r="K228" i="1"/>
  <c r="O228" i="1"/>
  <c r="S228" i="1"/>
  <c r="W228" i="1"/>
  <c r="AA228" i="1"/>
  <c r="AE228" i="1"/>
  <c r="AI228" i="1"/>
  <c r="AM228" i="1"/>
  <c r="AQ228" i="1"/>
  <c r="AU228" i="1"/>
  <c r="P226" i="1"/>
  <c r="P458" i="1"/>
  <c r="P465" i="1"/>
  <c r="X226" i="1"/>
  <c r="X458" i="1"/>
  <c r="X465" i="1"/>
  <c r="AF226" i="1"/>
  <c r="AF458" i="1"/>
  <c r="AF465" i="1"/>
  <c r="AN226" i="1"/>
  <c r="AN458" i="1"/>
  <c r="AN465" i="1"/>
  <c r="AV226" i="1"/>
  <c r="AV458" i="1"/>
  <c r="AV465" i="1"/>
  <c r="K227" i="1"/>
  <c r="S227" i="1"/>
  <c r="AA227" i="1"/>
  <c r="AI227" i="1"/>
  <c r="AQ227" i="1"/>
  <c r="F228" i="1"/>
  <c r="N228" i="1"/>
  <c r="V228" i="1"/>
  <c r="AD228" i="1"/>
  <c r="L230" i="1"/>
  <c r="T230" i="1"/>
  <c r="AB230" i="1"/>
  <c r="AN230" i="1"/>
  <c r="G307" i="1"/>
  <c r="G303" i="1"/>
  <c r="G306" i="1"/>
  <c r="G302" i="1"/>
  <c r="G305" i="1"/>
  <c r="G304" i="1"/>
  <c r="L306" i="1"/>
  <c r="P306" i="1"/>
  <c r="T306" i="1"/>
  <c r="X306" i="1"/>
  <c r="AB306" i="1"/>
  <c r="AF306" i="1"/>
  <c r="AJ306" i="1"/>
  <c r="AN306" i="1"/>
  <c r="AR306" i="1"/>
  <c r="AV306" i="1"/>
  <c r="H579" i="1"/>
  <c r="H241" i="1"/>
  <c r="H319" i="1"/>
  <c r="H533" i="1"/>
  <c r="H332" i="1"/>
  <c r="H558" i="1"/>
  <c r="H342" i="1"/>
  <c r="H259" i="1"/>
  <c r="H583" i="1"/>
  <c r="H353" i="1"/>
  <c r="H270" i="1"/>
  <c r="H598" i="1"/>
  <c r="H357" i="1"/>
  <c r="H272" i="1"/>
  <c r="H600" i="1"/>
  <c r="H281" i="1"/>
  <c r="H370" i="1"/>
  <c r="H680" i="1"/>
  <c r="H445" i="1"/>
  <c r="H520" i="1"/>
  <c r="H381" i="1"/>
  <c r="H289" i="1"/>
  <c r="H709" i="1"/>
  <c r="H435" i="1"/>
  <c r="N179" i="1"/>
  <c r="N175" i="1"/>
  <c r="N456" i="1"/>
  <c r="N463" i="1"/>
  <c r="AD179" i="1"/>
  <c r="AD175" i="1"/>
  <c r="AD456" i="1"/>
  <c r="AD463" i="1"/>
  <c r="AT179" i="1"/>
  <c r="AT175" i="1"/>
  <c r="AT456" i="1"/>
  <c r="AT463" i="1"/>
  <c r="H532" i="1"/>
  <c r="H317" i="1"/>
  <c r="H550" i="1"/>
  <c r="H324" i="1"/>
  <c r="H245" i="1"/>
  <c r="H663" i="1"/>
  <c r="H413" i="1"/>
  <c r="H580" i="1"/>
  <c r="H333" i="1"/>
  <c r="H251" i="1"/>
  <c r="H610" i="1"/>
  <c r="H340" i="1"/>
  <c r="H257" i="1"/>
  <c r="H582" i="1"/>
  <c r="H346" i="1"/>
  <c r="H263" i="1"/>
  <c r="H722" i="1"/>
  <c r="H439" i="1"/>
  <c r="H703" i="1"/>
  <c r="H418" i="1"/>
  <c r="H560" i="1"/>
  <c r="H356" i="1"/>
  <c r="H271" i="1"/>
  <c r="H501" i="1"/>
  <c r="H358" i="1"/>
  <c r="H584" i="1"/>
  <c r="H361" i="1"/>
  <c r="H275" i="1"/>
  <c r="H518" i="1"/>
  <c r="H364" i="1"/>
  <c r="H277" i="1"/>
  <c r="H647" i="1"/>
  <c r="H217" i="1"/>
  <c r="H367" i="1"/>
  <c r="H563" i="1"/>
  <c r="H282" i="1"/>
  <c r="H371" i="1"/>
  <c r="H564" i="1"/>
  <c r="H372" i="1"/>
  <c r="H283" i="1"/>
  <c r="H725" i="1"/>
  <c r="H427" i="1"/>
  <c r="H666" i="1"/>
  <c r="H428" i="1"/>
  <c r="H681" i="1"/>
  <c r="H193" i="1"/>
  <c r="H446" i="1"/>
  <c r="H737" i="1"/>
  <c r="H430" i="1"/>
  <c r="H585" i="1"/>
  <c r="H290" i="1"/>
  <c r="H382" i="1"/>
  <c r="H651" i="1"/>
  <c r="H385" i="1"/>
  <c r="H523" i="1"/>
  <c r="H389" i="1"/>
  <c r="H295" i="1"/>
  <c r="H669" i="1"/>
  <c r="H434" i="1"/>
  <c r="H617" i="1"/>
  <c r="H447" i="1"/>
  <c r="H618" i="1"/>
  <c r="H396" i="1"/>
  <c r="H301" i="1"/>
  <c r="K178" i="1"/>
  <c r="K174" i="1"/>
  <c r="S178" i="1"/>
  <c r="S174" i="1"/>
  <c r="AA178" i="1"/>
  <c r="AA174" i="1"/>
  <c r="AI178" i="1"/>
  <c r="AI174" i="1"/>
  <c r="AM178" i="1"/>
  <c r="AM174" i="1"/>
  <c r="AU178" i="1"/>
  <c r="AU174" i="1"/>
  <c r="H155" i="1"/>
  <c r="H172" i="1"/>
  <c r="M174" i="1"/>
  <c r="X174" i="1"/>
  <c r="AC174" i="1"/>
  <c r="AN174" i="1"/>
  <c r="AS174" i="1"/>
  <c r="AX174" i="1"/>
  <c r="K175" i="1"/>
  <c r="K456" i="1"/>
  <c r="K463" i="1"/>
  <c r="U175" i="1"/>
  <c r="U456" i="1"/>
  <c r="U463" i="1"/>
  <c r="AA175" i="1"/>
  <c r="AA456" i="1"/>
  <c r="AA463" i="1"/>
  <c r="AK175" i="1"/>
  <c r="AK456" i="1"/>
  <c r="AK463" i="1"/>
  <c r="AQ175" i="1"/>
  <c r="AQ456" i="1"/>
  <c r="AQ463" i="1"/>
  <c r="N176" i="1"/>
  <c r="S176" i="1"/>
  <c r="AD176" i="1"/>
  <c r="AI176" i="1"/>
  <c r="AT176" i="1"/>
  <c r="F177" i="1"/>
  <c r="K177" i="1"/>
  <c r="Q177" i="1"/>
  <c r="V177" i="1"/>
  <c r="AA177" i="1"/>
  <c r="AG177" i="1"/>
  <c r="AL177" i="1"/>
  <c r="AW177" i="1"/>
  <c r="I178" i="1"/>
  <c r="N178" i="1"/>
  <c r="Y178" i="1"/>
  <c r="AD178" i="1"/>
  <c r="AO178" i="1"/>
  <c r="AT178" i="1"/>
  <c r="Q179" i="1"/>
  <c r="AG179" i="1"/>
  <c r="AM179" i="1"/>
  <c r="AW179" i="1"/>
  <c r="H186" i="1"/>
  <c r="N196" i="1"/>
  <c r="S196" i="1"/>
  <c r="AD196" i="1"/>
  <c r="AI196" i="1"/>
  <c r="AT196" i="1"/>
  <c r="K197" i="1"/>
  <c r="K457" i="1"/>
  <c r="K464" i="1"/>
  <c r="Q197" i="1"/>
  <c r="Q457" i="1"/>
  <c r="Q464" i="1"/>
  <c r="AA197" i="1"/>
  <c r="AA457" i="1"/>
  <c r="AA464" i="1"/>
  <c r="AG197" i="1"/>
  <c r="AG457" i="1"/>
  <c r="AG464" i="1"/>
  <c r="AQ197" i="1"/>
  <c r="AQ457" i="1"/>
  <c r="AQ464" i="1"/>
  <c r="AW197" i="1"/>
  <c r="AW457" i="1"/>
  <c r="AW464" i="1"/>
  <c r="I198" i="1"/>
  <c r="Y198" i="1"/>
  <c r="AO198" i="1"/>
  <c r="G199" i="1"/>
  <c r="L199" i="1"/>
  <c r="Q199" i="1"/>
  <c r="W199" i="1"/>
  <c r="AG199" i="1"/>
  <c r="AM199" i="1"/>
  <c r="AW199" i="1"/>
  <c r="O200" i="1"/>
  <c r="T200" i="1"/>
  <c r="AE200" i="1"/>
  <c r="AJ200" i="1"/>
  <c r="AU200" i="1"/>
  <c r="G201" i="1"/>
  <c r="M201" i="1"/>
  <c r="W201" i="1"/>
  <c r="AC201" i="1"/>
  <c r="AM201" i="1"/>
  <c r="AS201" i="1"/>
  <c r="I228" i="1"/>
  <c r="I230" i="1"/>
  <c r="I226" i="1"/>
  <c r="I458" i="1"/>
  <c r="I465" i="1"/>
  <c r="M228" i="1"/>
  <c r="M230" i="1"/>
  <c r="M226" i="1"/>
  <c r="M458" i="1"/>
  <c r="M465" i="1"/>
  <c r="Q228" i="1"/>
  <c r="Q230" i="1"/>
  <c r="Q226" i="1"/>
  <c r="Q458" i="1"/>
  <c r="Q465" i="1"/>
  <c r="U228" i="1"/>
  <c r="U230" i="1"/>
  <c r="U226" i="1"/>
  <c r="U458" i="1"/>
  <c r="U465" i="1"/>
  <c r="Y228" i="1"/>
  <c r="Y230" i="1"/>
  <c r="Y226" i="1"/>
  <c r="Y458" i="1"/>
  <c r="Y465" i="1"/>
  <c r="AC228" i="1"/>
  <c r="AC230" i="1"/>
  <c r="AC226" i="1"/>
  <c r="AC458" i="1"/>
  <c r="AC465" i="1"/>
  <c r="AG228" i="1"/>
  <c r="AG230" i="1"/>
  <c r="AG226" i="1"/>
  <c r="AG458" i="1"/>
  <c r="AG465" i="1"/>
  <c r="AK228" i="1"/>
  <c r="AK230" i="1"/>
  <c r="AK226" i="1"/>
  <c r="AK458" i="1"/>
  <c r="AK465" i="1"/>
  <c r="AO228" i="1"/>
  <c r="AO230" i="1"/>
  <c r="AO226" i="1"/>
  <c r="AO458" i="1"/>
  <c r="AO465" i="1"/>
  <c r="AS228" i="1"/>
  <c r="AS230" i="1"/>
  <c r="AS226" i="1"/>
  <c r="AS458" i="1"/>
  <c r="AS465" i="1"/>
  <c r="AW228" i="1"/>
  <c r="AW230" i="1"/>
  <c r="AW226" i="1"/>
  <c r="AW458" i="1"/>
  <c r="AW465" i="1"/>
  <c r="H207" i="1"/>
  <c r="H223" i="1"/>
  <c r="G225" i="1"/>
  <c r="O225" i="1"/>
  <c r="W225" i="1"/>
  <c r="AE225" i="1"/>
  <c r="AM225" i="1"/>
  <c r="AU225" i="1"/>
  <c r="M227" i="1"/>
  <c r="U227" i="1"/>
  <c r="AC227" i="1"/>
  <c r="AK227" i="1"/>
  <c r="AS227" i="1"/>
  <c r="P228" i="1"/>
  <c r="X228" i="1"/>
  <c r="AF228" i="1"/>
  <c r="AN228" i="1"/>
  <c r="AV228" i="1"/>
  <c r="K229" i="1"/>
  <c r="S229" i="1"/>
  <c r="AA229" i="1"/>
  <c r="AI229" i="1"/>
  <c r="AQ229" i="1"/>
  <c r="AR230" i="1"/>
  <c r="H549" i="1"/>
  <c r="H323" i="1"/>
  <c r="H244" i="1"/>
  <c r="H556" i="1"/>
  <c r="H254" i="1"/>
  <c r="H336" i="1"/>
  <c r="H611" i="1"/>
  <c r="H345" i="1"/>
  <c r="H262" i="1"/>
  <c r="H517" i="1"/>
  <c r="H274" i="1"/>
  <c r="H360" i="1"/>
  <c r="H724" i="1"/>
  <c r="H426" i="1"/>
  <c r="R179" i="1"/>
  <c r="R175" i="1"/>
  <c r="R456" i="1"/>
  <c r="R463" i="1"/>
  <c r="AH179" i="1"/>
  <c r="AH175" i="1"/>
  <c r="AH456" i="1"/>
  <c r="AH463" i="1"/>
  <c r="AP179" i="1"/>
  <c r="AP175" i="1"/>
  <c r="AP456" i="1"/>
  <c r="AP463" i="1"/>
  <c r="H154" i="1"/>
  <c r="H628" i="1"/>
  <c r="H237" i="1"/>
  <c r="H314" i="1"/>
  <c r="H547" i="1"/>
  <c r="H320" i="1"/>
  <c r="H552" i="1"/>
  <c r="H327" i="1"/>
  <c r="H247" i="1"/>
  <c r="H643" i="1"/>
  <c r="H185" i="1"/>
  <c r="H438" i="1"/>
  <c r="H720" i="1"/>
  <c r="H414" i="1"/>
  <c r="H664" i="1"/>
  <c r="H416" i="1"/>
  <c r="H534" i="1"/>
  <c r="H213" i="1"/>
  <c r="H354" i="1"/>
  <c r="G178" i="1"/>
  <c r="G174" i="1"/>
  <c r="O178" i="1"/>
  <c r="O174" i="1"/>
  <c r="W178" i="1"/>
  <c r="W174" i="1"/>
  <c r="AE178" i="1"/>
  <c r="AE174" i="1"/>
  <c r="AQ178" i="1"/>
  <c r="AQ174" i="1"/>
  <c r="H163" i="1"/>
  <c r="H167" i="1"/>
  <c r="H627" i="1"/>
  <c r="H311" i="1"/>
  <c r="H235" i="1"/>
  <c r="H546" i="1"/>
  <c r="H315" i="1"/>
  <c r="H629" i="1"/>
  <c r="H240" i="1"/>
  <c r="H318" i="1"/>
  <c r="H719" i="1"/>
  <c r="H321" i="1"/>
  <c r="H551" i="1"/>
  <c r="H325" i="1"/>
  <c r="H691" i="1"/>
  <c r="H410" i="1"/>
  <c r="H595" i="1"/>
  <c r="H328" i="1"/>
  <c r="H248" i="1"/>
  <c r="H499" i="1"/>
  <c r="H330" i="1"/>
  <c r="H555" i="1"/>
  <c r="H252" i="1"/>
  <c r="H334" i="1"/>
  <c r="H557" i="1"/>
  <c r="H337" i="1"/>
  <c r="H255" i="1"/>
  <c r="H721" i="1"/>
  <c r="H415" i="1"/>
  <c r="H559" i="1"/>
  <c r="H343" i="1"/>
  <c r="H260" i="1"/>
  <c r="H596" i="1"/>
  <c r="H347" i="1"/>
  <c r="H264" i="1"/>
  <c r="H597" i="1"/>
  <c r="H350" i="1"/>
  <c r="H267" i="1"/>
  <c r="H665" i="1"/>
  <c r="H419" i="1"/>
  <c r="H679" i="1"/>
  <c r="H440" i="1"/>
  <c r="H645" i="1"/>
  <c r="H441" i="1"/>
  <c r="H561" i="1"/>
  <c r="H273" i="1"/>
  <c r="H359" i="1"/>
  <c r="H646" i="1"/>
  <c r="H189" i="1"/>
  <c r="H442" i="1"/>
  <c r="H707" i="1"/>
  <c r="H423" i="1"/>
  <c r="H536" i="1"/>
  <c r="H368" i="1"/>
  <c r="H648" i="1"/>
  <c r="H443" i="1"/>
  <c r="H565" i="1"/>
  <c r="H373" i="1"/>
  <c r="H284" i="1"/>
  <c r="H537" i="1"/>
  <c r="H375" i="1"/>
  <c r="H502" i="1"/>
  <c r="H377" i="1"/>
  <c r="H650" i="1"/>
  <c r="H221" i="1"/>
  <c r="H378" i="1"/>
  <c r="H667" i="1"/>
  <c r="H431" i="1"/>
  <c r="H521" i="1"/>
  <c r="H383" i="1"/>
  <c r="H291" i="1"/>
  <c r="H616" i="1"/>
  <c r="H292" i="1"/>
  <c r="H386" i="1"/>
  <c r="H567" i="1"/>
  <c r="H296" i="1"/>
  <c r="H390" i="1"/>
  <c r="H570" i="1"/>
  <c r="H393" i="1"/>
  <c r="H299" i="1"/>
  <c r="H693" i="1"/>
  <c r="H395" i="1"/>
  <c r="H135" i="1"/>
  <c r="L177" i="1"/>
  <c r="P177" i="1"/>
  <c r="T177" i="1"/>
  <c r="X177" i="1"/>
  <c r="AB177" i="1"/>
  <c r="AF177" i="1"/>
  <c r="AJ177" i="1"/>
  <c r="AN177" i="1"/>
  <c r="AR177" i="1"/>
  <c r="AV177" i="1"/>
  <c r="H152" i="1"/>
  <c r="H156" i="1"/>
  <c r="H160" i="1"/>
  <c r="H164" i="1"/>
  <c r="H168" i="1"/>
  <c r="N174" i="1"/>
  <c r="T174" i="1"/>
  <c r="AD174" i="1"/>
  <c r="AJ174" i="1"/>
  <c r="AT174" i="1"/>
  <c r="G175" i="1"/>
  <c r="L175" i="1"/>
  <c r="L456" i="1"/>
  <c r="L463" i="1"/>
  <c r="W175" i="1"/>
  <c r="W456" i="1"/>
  <c r="W463" i="1"/>
  <c r="AB175" i="1"/>
  <c r="AB456" i="1"/>
  <c r="AB463" i="1"/>
  <c r="AM175" i="1"/>
  <c r="AM456" i="1"/>
  <c r="AM463" i="1"/>
  <c r="AR175" i="1"/>
  <c r="AR456" i="1"/>
  <c r="AR463" i="1"/>
  <c r="J176" i="1"/>
  <c r="O176" i="1"/>
  <c r="T176" i="1"/>
  <c r="Z176" i="1"/>
  <c r="AE176" i="1"/>
  <c r="AJ176" i="1"/>
  <c r="AP176" i="1"/>
  <c r="AU176" i="1"/>
  <c r="G177" i="1"/>
  <c r="M177" i="1"/>
  <c r="R177" i="1"/>
  <c r="W177" i="1"/>
  <c r="AC177" i="1"/>
  <c r="AH177" i="1"/>
  <c r="AM177" i="1"/>
  <c r="AS177" i="1"/>
  <c r="AX177" i="1"/>
  <c r="P178" i="1"/>
  <c r="AF178" i="1"/>
  <c r="AP178" i="1"/>
  <c r="AV178" i="1"/>
  <c r="S179" i="1"/>
  <c r="X179" i="1"/>
  <c r="AI179" i="1"/>
  <c r="AN179" i="1"/>
  <c r="F199" i="1"/>
  <c r="J199" i="1"/>
  <c r="N199" i="1"/>
  <c r="R199" i="1"/>
  <c r="V199" i="1"/>
  <c r="Z199" i="1"/>
  <c r="AD199" i="1"/>
  <c r="AH199" i="1"/>
  <c r="AL199" i="1"/>
  <c r="AP199" i="1"/>
  <c r="AT199" i="1"/>
  <c r="AX199" i="1"/>
  <c r="H187" i="1"/>
  <c r="H192" i="1"/>
  <c r="J196" i="1"/>
  <c r="T196" i="1"/>
  <c r="Z196" i="1"/>
  <c r="AJ196" i="1"/>
  <c r="AP196" i="1"/>
  <c r="M197" i="1"/>
  <c r="M457" i="1"/>
  <c r="M464" i="1"/>
  <c r="R197" i="1"/>
  <c r="R457" i="1"/>
  <c r="R464" i="1"/>
  <c r="AC197" i="1"/>
  <c r="AC457" i="1"/>
  <c r="AC464" i="1"/>
  <c r="AH197" i="1"/>
  <c r="AH457" i="1"/>
  <c r="AH464" i="1"/>
  <c r="AS197" i="1"/>
  <c r="AS457" i="1"/>
  <c r="AS464" i="1"/>
  <c r="AX197" i="1"/>
  <c r="AX457" i="1"/>
  <c r="AX464" i="1"/>
  <c r="J198" i="1"/>
  <c r="P198" i="1"/>
  <c r="U198" i="1"/>
  <c r="Z198" i="1"/>
  <c r="AF198" i="1"/>
  <c r="AK198" i="1"/>
  <c r="AP198" i="1"/>
  <c r="AV198" i="1"/>
  <c r="S199" i="1"/>
  <c r="X199" i="1"/>
  <c r="AI199" i="1"/>
  <c r="AN199" i="1"/>
  <c r="F200" i="1"/>
  <c r="P200" i="1"/>
  <c r="V200" i="1"/>
  <c r="AF200" i="1"/>
  <c r="AL200" i="1"/>
  <c r="AV200" i="1"/>
  <c r="I201" i="1"/>
  <c r="N201" i="1"/>
  <c r="Y201" i="1"/>
  <c r="AD201" i="1"/>
  <c r="AO201" i="1"/>
  <c r="AT201" i="1"/>
  <c r="F227" i="1"/>
  <c r="F229" i="1"/>
  <c r="F225" i="1"/>
  <c r="J227" i="1"/>
  <c r="J229" i="1"/>
  <c r="J225" i="1"/>
  <c r="N227" i="1"/>
  <c r="N229" i="1"/>
  <c r="N225" i="1"/>
  <c r="R227" i="1"/>
  <c r="R229" i="1"/>
  <c r="R225" i="1"/>
  <c r="V227" i="1"/>
  <c r="V229" i="1"/>
  <c r="V225" i="1"/>
  <c r="Z227" i="1"/>
  <c r="Z229" i="1"/>
  <c r="Z225" i="1"/>
  <c r="AD227" i="1"/>
  <c r="AD229" i="1"/>
  <c r="AD225" i="1"/>
  <c r="AH227" i="1"/>
  <c r="AH230" i="1"/>
  <c r="AH229" i="1"/>
  <c r="AH225" i="1"/>
  <c r="AL227" i="1"/>
  <c r="AL230" i="1"/>
  <c r="AL229" i="1"/>
  <c r="AL225" i="1"/>
  <c r="AP227" i="1"/>
  <c r="AP230" i="1"/>
  <c r="AP229" i="1"/>
  <c r="AP225" i="1"/>
  <c r="AT227" i="1"/>
  <c r="AT230" i="1"/>
  <c r="AT229" i="1"/>
  <c r="AT225" i="1"/>
  <c r="AX227" i="1"/>
  <c r="AX230" i="1"/>
  <c r="AX229" i="1"/>
  <c r="AX225" i="1"/>
  <c r="H208" i="1"/>
  <c r="H219" i="1"/>
  <c r="H224" i="1"/>
  <c r="I225" i="1"/>
  <c r="Q225" i="1"/>
  <c r="Y225" i="1"/>
  <c r="AG225" i="1"/>
  <c r="AO225" i="1"/>
  <c r="AW225" i="1"/>
  <c r="L226" i="1"/>
  <c r="L458" i="1"/>
  <c r="L465" i="1"/>
  <c r="T226" i="1"/>
  <c r="T458" i="1"/>
  <c r="T465" i="1"/>
  <c r="AB226" i="1"/>
  <c r="AB458" i="1"/>
  <c r="AB465" i="1"/>
  <c r="AJ226" i="1"/>
  <c r="AJ458" i="1"/>
  <c r="AJ465" i="1"/>
  <c r="AR226" i="1"/>
  <c r="AR458" i="1"/>
  <c r="AR465" i="1"/>
  <c r="G227" i="1"/>
  <c r="O227" i="1"/>
  <c r="W227" i="1"/>
  <c r="AE227" i="1"/>
  <c r="AM227" i="1"/>
  <c r="AU227" i="1"/>
  <c r="J228" i="1"/>
  <c r="R228" i="1"/>
  <c r="Z228" i="1"/>
  <c r="AH228" i="1"/>
  <c r="AP228" i="1"/>
  <c r="AX228" i="1"/>
  <c r="M229" i="1"/>
  <c r="U229" i="1"/>
  <c r="AC229" i="1"/>
  <c r="AK229" i="1"/>
  <c r="AS229" i="1"/>
  <c r="P230" i="1"/>
  <c r="X230" i="1"/>
  <c r="AF230" i="1"/>
  <c r="AV230" i="1"/>
  <c r="J304" i="1"/>
  <c r="N304" i="1"/>
  <c r="R304" i="1"/>
  <c r="V304" i="1"/>
  <c r="Z304" i="1"/>
  <c r="AD304" i="1"/>
  <c r="AH304" i="1"/>
  <c r="AL304" i="1"/>
  <c r="AP304" i="1"/>
  <c r="AT304" i="1"/>
  <c r="AX304" i="1"/>
  <c r="H242" i="1"/>
  <c r="H497" i="1"/>
  <c r="H313" i="1"/>
  <c r="H498" i="1"/>
  <c r="H209" i="1"/>
  <c r="H326" i="1"/>
  <c r="H553" i="1"/>
  <c r="H329" i="1"/>
  <c r="H249" i="1"/>
  <c r="H515" i="1"/>
  <c r="H349" i="1"/>
  <c r="H266" i="1"/>
  <c r="H500" i="1"/>
  <c r="H355" i="1"/>
  <c r="H599" i="1"/>
  <c r="H366" i="1"/>
  <c r="H279" i="1"/>
  <c r="H736" i="1"/>
  <c r="H425" i="1"/>
  <c r="H615" i="1"/>
  <c r="H380" i="1"/>
  <c r="H288" i="1"/>
  <c r="H503" i="1"/>
  <c r="H384" i="1"/>
  <c r="H569" i="1"/>
  <c r="H298" i="1"/>
  <c r="H392" i="1"/>
  <c r="H670" i="1"/>
  <c r="H436" i="1"/>
  <c r="H173" i="1"/>
  <c r="H137" i="1"/>
  <c r="J179" i="1"/>
  <c r="J175" i="1"/>
  <c r="J456" i="1"/>
  <c r="J463" i="1"/>
  <c r="Z179" i="1"/>
  <c r="Z175" i="1"/>
  <c r="Z456" i="1"/>
  <c r="Z463" i="1"/>
  <c r="H512" i="1"/>
  <c r="H312" i="1"/>
  <c r="H236" i="1"/>
  <c r="H660" i="1"/>
  <c r="H407" i="1"/>
  <c r="H718" i="1"/>
  <c r="H408" i="1"/>
  <c r="H548" i="1"/>
  <c r="H322" i="1"/>
  <c r="H243" i="1"/>
  <c r="H661" i="1"/>
  <c r="H409" i="1"/>
  <c r="H692" i="1"/>
  <c r="H411" i="1"/>
  <c r="H642" i="1"/>
  <c r="H437" i="1"/>
  <c r="H554" i="1"/>
  <c r="H331" i="1"/>
  <c r="H581" i="1"/>
  <c r="H253" i="1"/>
  <c r="H335" i="1"/>
  <c r="H644" i="1"/>
  <c r="H338" i="1"/>
  <c r="H631" i="1"/>
  <c r="H341" i="1"/>
  <c r="H258" i="1"/>
  <c r="H513" i="1"/>
  <c r="H344" i="1"/>
  <c r="H261" i="1"/>
  <c r="H514" i="1"/>
  <c r="H348" i="1"/>
  <c r="H265" i="1"/>
  <c r="H612" i="1"/>
  <c r="H351" i="1"/>
  <c r="H268" i="1"/>
  <c r="H516" i="1"/>
  <c r="H352" i="1"/>
  <c r="H269" i="1"/>
  <c r="H704" i="1"/>
  <c r="H420" i="1"/>
  <c r="H705" i="1"/>
  <c r="H421" i="1"/>
  <c r="H723" i="1"/>
  <c r="H422" i="1"/>
  <c r="H535" i="1"/>
  <c r="H362" i="1"/>
  <c r="H632" i="1"/>
  <c r="H365" i="1"/>
  <c r="H278" i="1"/>
  <c r="H519" i="1"/>
  <c r="H369" i="1"/>
  <c r="H280" i="1"/>
  <c r="H706" i="1"/>
  <c r="H424" i="1"/>
  <c r="H566" i="1"/>
  <c r="H285" i="1"/>
  <c r="H374" i="1"/>
  <c r="H649" i="1"/>
  <c r="H444" i="1"/>
  <c r="H708" i="1"/>
  <c r="H429" i="1"/>
  <c r="H614" i="1"/>
  <c r="H379" i="1"/>
  <c r="H287" i="1"/>
  <c r="H668" i="1"/>
  <c r="H432" i="1"/>
  <c r="H169" i="1"/>
  <c r="H726" i="1"/>
  <c r="H433" i="1"/>
  <c r="H522" i="1"/>
  <c r="H293" i="1"/>
  <c r="H387" i="1"/>
  <c r="H568" i="1"/>
  <c r="H297" i="1"/>
  <c r="H391" i="1"/>
  <c r="H633" i="1"/>
  <c r="H300" i="1"/>
  <c r="H394" i="1"/>
  <c r="H682" i="1"/>
  <c r="H448" i="1"/>
  <c r="H136" i="1"/>
  <c r="I176" i="1"/>
  <c r="M176" i="1"/>
  <c r="Q176" i="1"/>
  <c r="U176" i="1"/>
  <c r="Y176" i="1"/>
  <c r="AC176" i="1"/>
  <c r="AG176" i="1"/>
  <c r="AK176" i="1"/>
  <c r="AO176" i="1"/>
  <c r="AS176" i="1"/>
  <c r="AW176" i="1"/>
  <c r="H145" i="1"/>
  <c r="H149" i="1"/>
  <c r="H153" i="1"/>
  <c r="H157" i="1"/>
  <c r="H161" i="1"/>
  <c r="H165" i="1"/>
  <c r="H170" i="1"/>
  <c r="J174" i="1"/>
  <c r="P174" i="1"/>
  <c r="U174" i="1"/>
  <c r="Z174" i="1"/>
  <c r="AF174" i="1"/>
  <c r="AK174" i="1"/>
  <c r="AP174" i="1"/>
  <c r="AV174" i="1"/>
  <c r="M175" i="1"/>
  <c r="M456" i="1"/>
  <c r="M463" i="1"/>
  <c r="S175" i="1"/>
  <c r="S456" i="1"/>
  <c r="S463" i="1"/>
  <c r="X175" i="1"/>
  <c r="X456" i="1"/>
  <c r="X463" i="1"/>
  <c r="AC175" i="1"/>
  <c r="AC456" i="1"/>
  <c r="AC463" i="1"/>
  <c r="AI175" i="1"/>
  <c r="AI456" i="1"/>
  <c r="AI463" i="1"/>
  <c r="AN175" i="1"/>
  <c r="AN456" i="1"/>
  <c r="AN463" i="1"/>
  <c r="AS175" i="1"/>
  <c r="AS456" i="1"/>
  <c r="AS463" i="1"/>
  <c r="F176" i="1"/>
  <c r="K176" i="1"/>
  <c r="P176" i="1"/>
  <c r="V176" i="1"/>
  <c r="AA176" i="1"/>
  <c r="AF176" i="1"/>
  <c r="AL176" i="1"/>
  <c r="AQ176" i="1"/>
  <c r="AV176" i="1"/>
  <c r="I177" i="1"/>
  <c r="N177" i="1"/>
  <c r="S177" i="1"/>
  <c r="Y177" i="1"/>
  <c r="AD177" i="1"/>
  <c r="AI177" i="1"/>
  <c r="AO177" i="1"/>
  <c r="AT177" i="1"/>
  <c r="F178" i="1"/>
  <c r="L178" i="1"/>
  <c r="Q178" i="1"/>
  <c r="V178" i="1"/>
  <c r="AB178" i="1"/>
  <c r="AG178" i="1"/>
  <c r="AL178" i="1"/>
  <c r="AR178" i="1"/>
  <c r="AW178" i="1"/>
  <c r="I179" i="1"/>
  <c r="O179" i="1"/>
  <c r="T179" i="1"/>
  <c r="Y179" i="1"/>
  <c r="AE179" i="1"/>
  <c r="AJ179" i="1"/>
  <c r="AO179" i="1"/>
  <c r="AU179" i="1"/>
  <c r="G198" i="1"/>
  <c r="K198" i="1"/>
  <c r="O198" i="1"/>
  <c r="S198" i="1"/>
  <c r="W198" i="1"/>
  <c r="AA198" i="1"/>
  <c r="AE198" i="1"/>
  <c r="AI198" i="1"/>
  <c r="AM198" i="1"/>
  <c r="AQ198" i="1"/>
  <c r="AU198" i="1"/>
  <c r="H188" i="1"/>
  <c r="H194" i="1"/>
  <c r="F196" i="1"/>
  <c r="K196" i="1"/>
  <c r="P196" i="1"/>
  <c r="V196" i="1"/>
  <c r="AA196" i="1"/>
  <c r="AF196" i="1"/>
  <c r="AL196" i="1"/>
  <c r="AQ196" i="1"/>
  <c r="AV196" i="1"/>
  <c r="I197" i="1"/>
  <c r="I457" i="1"/>
  <c r="I464" i="1"/>
  <c r="N197" i="1"/>
  <c r="N457" i="1"/>
  <c r="N464" i="1"/>
  <c r="S197" i="1"/>
  <c r="S457" i="1"/>
  <c r="S464" i="1"/>
  <c r="Y197" i="1"/>
  <c r="Y457" i="1"/>
  <c r="Y464" i="1"/>
  <c r="AD197" i="1"/>
  <c r="AD457" i="1"/>
  <c r="AD464" i="1"/>
  <c r="AI197" i="1"/>
  <c r="AI457" i="1"/>
  <c r="AI464" i="1"/>
  <c r="AO197" i="1"/>
  <c r="AO457" i="1"/>
  <c r="AO464" i="1"/>
  <c r="AT197" i="1"/>
  <c r="AT457" i="1"/>
  <c r="AT464" i="1"/>
  <c r="F198" i="1"/>
  <c r="L198" i="1"/>
  <c r="V198" i="1"/>
  <c r="AB198" i="1"/>
  <c r="AL198" i="1"/>
  <c r="AR198" i="1"/>
  <c r="O199" i="1"/>
  <c r="T199" i="1"/>
  <c r="AE199" i="1"/>
  <c r="AJ199" i="1"/>
  <c r="AU199" i="1"/>
  <c r="G200" i="1"/>
  <c r="L200" i="1"/>
  <c r="R200" i="1"/>
  <c r="W200" i="1"/>
  <c r="AB200" i="1"/>
  <c r="AH200" i="1"/>
  <c r="AM200" i="1"/>
  <c r="AR200" i="1"/>
  <c r="AX200" i="1"/>
  <c r="J201" i="1"/>
  <c r="O201" i="1"/>
  <c r="Z201" i="1"/>
  <c r="AE201" i="1"/>
  <c r="AP201" i="1"/>
  <c r="AU201" i="1"/>
  <c r="G230" i="1"/>
  <c r="K230" i="1"/>
  <c r="O230" i="1"/>
  <c r="S230" i="1"/>
  <c r="W230" i="1"/>
  <c r="AA230" i="1"/>
  <c r="AE230" i="1"/>
  <c r="AI230" i="1"/>
  <c r="AM230" i="1"/>
  <c r="AQ230" i="1"/>
  <c r="AU230" i="1"/>
  <c r="H210" i="1"/>
  <c r="H215" i="1"/>
  <c r="H220" i="1"/>
  <c r="K225" i="1"/>
  <c r="S225" i="1"/>
  <c r="AA225" i="1"/>
  <c r="AI225" i="1"/>
  <c r="AQ225" i="1"/>
  <c r="F226" i="1"/>
  <c r="N226" i="1"/>
  <c r="N458" i="1"/>
  <c r="N465" i="1"/>
  <c r="V226" i="1"/>
  <c r="V458" i="1"/>
  <c r="V465" i="1"/>
  <c r="AD226" i="1"/>
  <c r="AD458" i="1"/>
  <c r="AD465" i="1"/>
  <c r="AL226" i="1"/>
  <c r="AL458" i="1"/>
  <c r="AL465" i="1"/>
  <c r="AT226" i="1"/>
  <c r="AT458" i="1"/>
  <c r="AT465" i="1"/>
  <c r="I227" i="1"/>
  <c r="Q227" i="1"/>
  <c r="Y227" i="1"/>
  <c r="AG227" i="1"/>
  <c r="AO227" i="1"/>
  <c r="AW227" i="1"/>
  <c r="L228" i="1"/>
  <c r="T228" i="1"/>
  <c r="AB228" i="1"/>
  <c r="AJ228" i="1"/>
  <c r="AR228" i="1"/>
  <c r="G229" i="1"/>
  <c r="O229" i="1"/>
  <c r="W229" i="1"/>
  <c r="AE229" i="1"/>
  <c r="AM229" i="1"/>
  <c r="AU229" i="1"/>
  <c r="J230" i="1"/>
  <c r="R230" i="1"/>
  <c r="Z230" i="1"/>
  <c r="AJ230" i="1"/>
  <c r="F304" i="1"/>
  <c r="K307" i="1"/>
  <c r="K303" i="1"/>
  <c r="K459" i="1"/>
  <c r="K466" i="1"/>
  <c r="K306" i="1"/>
  <c r="K302" i="1"/>
  <c r="K305" i="1"/>
  <c r="K304" i="1"/>
  <c r="O307" i="1"/>
  <c r="O303" i="1"/>
  <c r="O459" i="1"/>
  <c r="O466" i="1"/>
  <c r="O306" i="1"/>
  <c r="O302" i="1"/>
  <c r="O305" i="1"/>
  <c r="O304" i="1"/>
  <c r="S307" i="1"/>
  <c r="S303" i="1"/>
  <c r="S459" i="1"/>
  <c r="S466" i="1"/>
  <c r="S306" i="1"/>
  <c r="S302" i="1"/>
  <c r="S305" i="1"/>
  <c r="S304" i="1"/>
  <c r="W307" i="1"/>
  <c r="W303" i="1"/>
  <c r="W459" i="1"/>
  <c r="W466" i="1"/>
  <c r="W306" i="1"/>
  <c r="W302" i="1"/>
  <c r="W305" i="1"/>
  <c r="W304" i="1"/>
  <c r="AA307" i="1"/>
  <c r="AA303" i="1"/>
  <c r="AA459" i="1"/>
  <c r="AA466" i="1"/>
  <c r="AA306" i="1"/>
  <c r="AA302" i="1"/>
  <c r="AA305" i="1"/>
  <c r="AA304" i="1"/>
  <c r="AE307" i="1"/>
  <c r="AE303" i="1"/>
  <c r="AE459" i="1"/>
  <c r="AE466" i="1"/>
  <c r="AE306" i="1"/>
  <c r="AE302" i="1"/>
  <c r="AE305" i="1"/>
  <c r="AE304" i="1"/>
  <c r="AI307" i="1"/>
  <c r="AI303" i="1"/>
  <c r="AI459" i="1"/>
  <c r="AI466" i="1"/>
  <c r="AI306" i="1"/>
  <c r="AI302" i="1"/>
  <c r="AI305" i="1"/>
  <c r="AI304" i="1"/>
  <c r="AM307" i="1"/>
  <c r="AM303" i="1"/>
  <c r="AM459" i="1"/>
  <c r="AM466" i="1"/>
  <c r="AM306" i="1"/>
  <c r="AM302" i="1"/>
  <c r="AM305" i="1"/>
  <c r="AM304" i="1"/>
  <c r="AQ307" i="1"/>
  <c r="AQ303" i="1"/>
  <c r="AQ459" i="1"/>
  <c r="AQ466" i="1"/>
  <c r="AQ306" i="1"/>
  <c r="AQ302" i="1"/>
  <c r="AQ305" i="1"/>
  <c r="AQ304" i="1"/>
  <c r="AU307" i="1"/>
  <c r="AU303" i="1"/>
  <c r="AU459" i="1"/>
  <c r="AU466" i="1"/>
  <c r="AU306" i="1"/>
  <c r="AU302" i="1"/>
  <c r="AU305" i="1"/>
  <c r="AU304" i="1"/>
  <c r="H246" i="1"/>
  <c r="I302" i="1"/>
  <c r="M302" i="1"/>
  <c r="Q302" i="1"/>
  <c r="U302" i="1"/>
  <c r="Y302" i="1"/>
  <c r="AC302" i="1"/>
  <c r="AG302" i="1"/>
  <c r="AK302" i="1"/>
  <c r="AO302" i="1"/>
  <c r="AS302" i="1"/>
  <c r="AW302" i="1"/>
  <c r="L303" i="1"/>
  <c r="L459" i="1"/>
  <c r="L466" i="1"/>
  <c r="P303" i="1"/>
  <c r="P459" i="1"/>
  <c r="P466" i="1"/>
  <c r="T303" i="1"/>
  <c r="T459" i="1"/>
  <c r="T466" i="1"/>
  <c r="X303" i="1"/>
  <c r="X459" i="1"/>
  <c r="X466" i="1"/>
  <c r="AB303" i="1"/>
  <c r="AB459" i="1"/>
  <c r="AB466" i="1"/>
  <c r="AF303" i="1"/>
  <c r="AF459" i="1"/>
  <c r="AF466" i="1"/>
  <c r="AJ303" i="1"/>
  <c r="AJ459" i="1"/>
  <c r="AJ466" i="1"/>
  <c r="AN303" i="1"/>
  <c r="AN459" i="1"/>
  <c r="AN466" i="1"/>
  <c r="AR303" i="1"/>
  <c r="AR459" i="1"/>
  <c r="AR466" i="1"/>
  <c r="AV303" i="1"/>
  <c r="AV459" i="1"/>
  <c r="AV466" i="1"/>
  <c r="F305" i="1"/>
  <c r="J305" i="1"/>
  <c r="N305" i="1"/>
  <c r="R305" i="1"/>
  <c r="V305" i="1"/>
  <c r="Z305" i="1"/>
  <c r="AD305" i="1"/>
  <c r="AH305" i="1"/>
  <c r="AL305" i="1"/>
  <c r="AP305" i="1"/>
  <c r="AT305" i="1"/>
  <c r="AX305" i="1"/>
  <c r="I306" i="1"/>
  <c r="M306" i="1"/>
  <c r="Q306" i="1"/>
  <c r="U306" i="1"/>
  <c r="Y306" i="1"/>
  <c r="AC306" i="1"/>
  <c r="AG306" i="1"/>
  <c r="AK306" i="1"/>
  <c r="AO306" i="1"/>
  <c r="AS306" i="1"/>
  <c r="AW306" i="1"/>
  <c r="L307" i="1"/>
  <c r="P307" i="1"/>
  <c r="T307" i="1"/>
  <c r="X307" i="1"/>
  <c r="AB307" i="1"/>
  <c r="AF307" i="1"/>
  <c r="AJ307" i="1"/>
  <c r="AN307" i="1"/>
  <c r="AR307" i="1"/>
  <c r="AV307" i="1"/>
  <c r="I397" i="1"/>
  <c r="M397" i="1"/>
  <c r="Q397" i="1"/>
  <c r="U397" i="1"/>
  <c r="Y397" i="1"/>
  <c r="AC397" i="1"/>
  <c r="AG397" i="1"/>
  <c r="AK397" i="1"/>
  <c r="AO397" i="1"/>
  <c r="AS397" i="1"/>
  <c r="AW397" i="1"/>
  <c r="L398" i="1"/>
  <c r="L460" i="1"/>
  <c r="P398" i="1"/>
  <c r="P460" i="1"/>
  <c r="T398" i="1"/>
  <c r="T460" i="1"/>
  <c r="X398" i="1"/>
  <c r="X460" i="1"/>
  <c r="AB398" i="1"/>
  <c r="AB460" i="1"/>
  <c r="AF398" i="1"/>
  <c r="AF460" i="1"/>
  <c r="AJ398" i="1"/>
  <c r="AJ460" i="1"/>
  <c r="AN398" i="1"/>
  <c r="AN460" i="1"/>
  <c r="AR398" i="1"/>
  <c r="AR460" i="1"/>
  <c r="AV398" i="1"/>
  <c r="AV460" i="1"/>
  <c r="G399" i="1"/>
  <c r="K399" i="1"/>
  <c r="O399" i="1"/>
  <c r="S399" i="1"/>
  <c r="W399" i="1"/>
  <c r="AA399" i="1"/>
  <c r="AE399" i="1"/>
  <c r="AI399" i="1"/>
  <c r="AM399" i="1"/>
  <c r="AQ399" i="1"/>
  <c r="AU399" i="1"/>
  <c r="F400" i="1"/>
  <c r="J400" i="1"/>
  <c r="N400" i="1"/>
  <c r="R400" i="1"/>
  <c r="V400" i="1"/>
  <c r="Z400" i="1"/>
  <c r="AD400" i="1"/>
  <c r="AH400" i="1"/>
  <c r="AL400" i="1"/>
  <c r="AP400" i="1"/>
  <c r="AT400" i="1"/>
  <c r="AX400" i="1"/>
  <c r="I401" i="1"/>
  <c r="M401" i="1"/>
  <c r="Q401" i="1"/>
  <c r="U401" i="1"/>
  <c r="Y401" i="1"/>
  <c r="AC401" i="1"/>
  <c r="AG401" i="1"/>
  <c r="AK401" i="1"/>
  <c r="AO401" i="1"/>
  <c r="AS401" i="1"/>
  <c r="AW401" i="1"/>
  <c r="L402" i="1"/>
  <c r="P402" i="1"/>
  <c r="T402" i="1"/>
  <c r="X402" i="1"/>
  <c r="AB402" i="1"/>
  <c r="AF402" i="1"/>
  <c r="AJ402" i="1"/>
  <c r="AN402" i="1"/>
  <c r="AR402" i="1"/>
  <c r="AV402" i="1"/>
  <c r="I449" i="1"/>
  <c r="M449" i="1"/>
  <c r="Q449" i="1"/>
  <c r="U449" i="1"/>
  <c r="Y449" i="1"/>
  <c r="AC449" i="1"/>
  <c r="AG449" i="1"/>
  <c r="AK449" i="1"/>
  <c r="AO449" i="1"/>
  <c r="AS449" i="1"/>
  <c r="AW449" i="1"/>
  <c r="L450" i="1"/>
  <c r="L461" i="1"/>
  <c r="P450" i="1"/>
  <c r="P461" i="1"/>
  <c r="T450" i="1"/>
  <c r="T461" i="1"/>
  <c r="X450" i="1"/>
  <c r="X461" i="1"/>
  <c r="AB450" i="1"/>
  <c r="AB461" i="1"/>
  <c r="AF450" i="1"/>
  <c r="AF461" i="1"/>
  <c r="AJ450" i="1"/>
  <c r="AJ461" i="1"/>
  <c r="AN450" i="1"/>
  <c r="AN461" i="1"/>
  <c r="AR450" i="1"/>
  <c r="AR461" i="1"/>
  <c r="AV450" i="1"/>
  <c r="AV461" i="1"/>
  <c r="G451" i="1"/>
  <c r="K451" i="1"/>
  <c r="O451" i="1"/>
  <c r="S451" i="1"/>
  <c r="W451" i="1"/>
  <c r="AA451" i="1"/>
  <c r="AE451" i="1"/>
  <c r="AI451" i="1"/>
  <c r="AM451" i="1"/>
  <c r="AQ451" i="1"/>
  <c r="AU451" i="1"/>
  <c r="F452" i="1"/>
  <c r="J452" i="1"/>
  <c r="N452" i="1"/>
  <c r="R452" i="1"/>
  <c r="V452" i="1"/>
  <c r="Z452" i="1"/>
  <c r="AD452" i="1"/>
  <c r="AH452" i="1"/>
  <c r="AL452" i="1"/>
  <c r="AP452" i="1"/>
  <c r="AT452" i="1"/>
  <c r="AX452" i="1"/>
  <c r="I453" i="1"/>
  <c r="M453" i="1"/>
  <c r="Q453" i="1"/>
  <c r="U453" i="1"/>
  <c r="Y453" i="1"/>
  <c r="AC453" i="1"/>
  <c r="AG453" i="1"/>
  <c r="AK453" i="1"/>
  <c r="AO453" i="1"/>
  <c r="AS453" i="1"/>
  <c r="AW453" i="1"/>
  <c r="L454" i="1"/>
  <c r="P454" i="1"/>
  <c r="T454" i="1"/>
  <c r="X454" i="1"/>
  <c r="AB454" i="1"/>
  <c r="AF454" i="1"/>
  <c r="AJ454" i="1"/>
  <c r="AN454" i="1"/>
  <c r="AR454" i="1"/>
  <c r="AV454" i="1"/>
  <c r="G468" i="1"/>
  <c r="G477" i="1"/>
  <c r="F302" i="1"/>
  <c r="J302" i="1"/>
  <c r="N302" i="1"/>
  <c r="R302" i="1"/>
  <c r="V302" i="1"/>
  <c r="Z302" i="1"/>
  <c r="AD302" i="1"/>
  <c r="AH302" i="1"/>
  <c r="AL302" i="1"/>
  <c r="AP302" i="1"/>
  <c r="AT302" i="1"/>
  <c r="AX302" i="1"/>
  <c r="I303" i="1"/>
  <c r="I459" i="1"/>
  <c r="I466" i="1"/>
  <c r="M303" i="1"/>
  <c r="M459" i="1"/>
  <c r="M466" i="1"/>
  <c r="Q303" i="1"/>
  <c r="Q459" i="1"/>
  <c r="Q466" i="1"/>
  <c r="U303" i="1"/>
  <c r="U459" i="1"/>
  <c r="U466" i="1"/>
  <c r="Y303" i="1"/>
  <c r="Y459" i="1"/>
  <c r="Y466" i="1"/>
  <c r="AC303" i="1"/>
  <c r="AC459" i="1"/>
  <c r="AC466" i="1"/>
  <c r="AG303" i="1"/>
  <c r="AG459" i="1"/>
  <c r="AG466" i="1"/>
  <c r="AK303" i="1"/>
  <c r="AK459" i="1"/>
  <c r="AK466" i="1"/>
  <c r="AO303" i="1"/>
  <c r="AO459" i="1"/>
  <c r="AO466" i="1"/>
  <c r="AS303" i="1"/>
  <c r="AS459" i="1"/>
  <c r="AS466" i="1"/>
  <c r="AW303" i="1"/>
  <c r="AW459" i="1"/>
  <c r="AW466" i="1"/>
  <c r="L304" i="1"/>
  <c r="P304" i="1"/>
  <c r="T304" i="1"/>
  <c r="X304" i="1"/>
  <c r="AB304" i="1"/>
  <c r="AF304" i="1"/>
  <c r="AJ304" i="1"/>
  <c r="AN304" i="1"/>
  <c r="AR304" i="1"/>
  <c r="AV304" i="1"/>
  <c r="F306" i="1"/>
  <c r="J306" i="1"/>
  <c r="N306" i="1"/>
  <c r="R306" i="1"/>
  <c r="V306" i="1"/>
  <c r="Z306" i="1"/>
  <c r="AD306" i="1"/>
  <c r="AH306" i="1"/>
  <c r="AL306" i="1"/>
  <c r="AP306" i="1"/>
  <c r="AT306" i="1"/>
  <c r="AX306" i="1"/>
  <c r="I307" i="1"/>
  <c r="M307" i="1"/>
  <c r="Q307" i="1"/>
  <c r="U307" i="1"/>
  <c r="Y307" i="1"/>
  <c r="AC307" i="1"/>
  <c r="AG307" i="1"/>
  <c r="AK307" i="1"/>
  <c r="AO307" i="1"/>
  <c r="AS307" i="1"/>
  <c r="AW307" i="1"/>
  <c r="F397" i="1"/>
  <c r="J397" i="1"/>
  <c r="N397" i="1"/>
  <c r="R397" i="1"/>
  <c r="V397" i="1"/>
  <c r="Z397" i="1"/>
  <c r="AD397" i="1"/>
  <c r="AH397" i="1"/>
  <c r="AL397" i="1"/>
  <c r="AP397" i="1"/>
  <c r="AT397" i="1"/>
  <c r="AX397" i="1"/>
  <c r="I398" i="1"/>
  <c r="I460" i="1"/>
  <c r="M398" i="1"/>
  <c r="M460" i="1"/>
  <c r="Q398" i="1"/>
  <c r="Q460" i="1"/>
  <c r="U398" i="1"/>
  <c r="U460" i="1"/>
  <c r="Y398" i="1"/>
  <c r="Y460" i="1"/>
  <c r="AC398" i="1"/>
  <c r="AC460" i="1"/>
  <c r="AG398" i="1"/>
  <c r="AG460" i="1"/>
  <c r="AK398" i="1"/>
  <c r="AK460" i="1"/>
  <c r="AO398" i="1"/>
  <c r="AO460" i="1"/>
  <c r="AS398" i="1"/>
  <c r="AS460" i="1"/>
  <c r="AW398" i="1"/>
  <c r="AW460" i="1"/>
  <c r="L399" i="1"/>
  <c r="P399" i="1"/>
  <c r="T399" i="1"/>
  <c r="X399" i="1"/>
  <c r="AB399" i="1"/>
  <c r="AF399" i="1"/>
  <c r="AJ399" i="1"/>
  <c r="AN399" i="1"/>
  <c r="AR399" i="1"/>
  <c r="AV399" i="1"/>
  <c r="G400" i="1"/>
  <c r="K400" i="1"/>
  <c r="O400" i="1"/>
  <c r="S400" i="1"/>
  <c r="W400" i="1"/>
  <c r="AA400" i="1"/>
  <c r="AE400" i="1"/>
  <c r="AI400" i="1"/>
  <c r="AM400" i="1"/>
  <c r="AQ400" i="1"/>
  <c r="AU400" i="1"/>
  <c r="F401" i="1"/>
  <c r="J401" i="1"/>
  <c r="N401" i="1"/>
  <c r="R401" i="1"/>
  <c r="V401" i="1"/>
  <c r="Z401" i="1"/>
  <c r="AD401" i="1"/>
  <c r="AH401" i="1"/>
  <c r="AL401" i="1"/>
  <c r="AP401" i="1"/>
  <c r="AT401" i="1"/>
  <c r="AX401" i="1"/>
  <c r="I402" i="1"/>
  <c r="M402" i="1"/>
  <c r="Q402" i="1"/>
  <c r="U402" i="1"/>
  <c r="Y402" i="1"/>
  <c r="AC402" i="1"/>
  <c r="AG402" i="1"/>
  <c r="AK402" i="1"/>
  <c r="AO402" i="1"/>
  <c r="AS402" i="1"/>
  <c r="AW402" i="1"/>
  <c r="F449" i="1"/>
  <c r="J449" i="1"/>
  <c r="N449" i="1"/>
  <c r="R449" i="1"/>
  <c r="V449" i="1"/>
  <c r="Z449" i="1"/>
  <c r="AD449" i="1"/>
  <c r="AH449" i="1"/>
  <c r="AL449" i="1"/>
  <c r="AP449" i="1"/>
  <c r="AT449" i="1"/>
  <c r="AX449" i="1"/>
  <c r="I450" i="1"/>
  <c r="I461" i="1"/>
  <c r="M450" i="1"/>
  <c r="M461" i="1"/>
  <c r="Q450" i="1"/>
  <c r="Q461" i="1"/>
  <c r="U450" i="1"/>
  <c r="U461" i="1"/>
  <c r="Y450" i="1"/>
  <c r="Y461" i="1"/>
  <c r="AC450" i="1"/>
  <c r="AC461" i="1"/>
  <c r="AG450" i="1"/>
  <c r="AG461" i="1"/>
  <c r="AK450" i="1"/>
  <c r="AK461" i="1"/>
  <c r="AO450" i="1"/>
  <c r="AO461" i="1"/>
  <c r="AS450" i="1"/>
  <c r="AS461" i="1"/>
  <c r="AW450" i="1"/>
  <c r="AW461" i="1"/>
  <c r="L451" i="1"/>
  <c r="P451" i="1"/>
  <c r="T451" i="1"/>
  <c r="X451" i="1"/>
  <c r="AB451" i="1"/>
  <c r="AF451" i="1"/>
  <c r="AJ451" i="1"/>
  <c r="AN451" i="1"/>
  <c r="AR451" i="1"/>
  <c r="AV451" i="1"/>
  <c r="G452" i="1"/>
  <c r="K452" i="1"/>
  <c r="O452" i="1"/>
  <c r="S452" i="1"/>
  <c r="W452" i="1"/>
  <c r="AA452" i="1"/>
  <c r="AE452" i="1"/>
  <c r="AI452" i="1"/>
  <c r="AM452" i="1"/>
  <c r="AQ452" i="1"/>
  <c r="AU452" i="1"/>
  <c r="F453" i="1"/>
  <c r="J453" i="1"/>
  <c r="N453" i="1"/>
  <c r="R453" i="1"/>
  <c r="V453" i="1"/>
  <c r="Z453" i="1"/>
  <c r="AD453" i="1"/>
  <c r="AH453" i="1"/>
  <c r="AL453" i="1"/>
  <c r="AP453" i="1"/>
  <c r="AT453" i="1"/>
  <c r="AX453" i="1"/>
  <c r="I454" i="1"/>
  <c r="M454" i="1"/>
  <c r="Q454" i="1"/>
  <c r="U454" i="1"/>
  <c r="Y454" i="1"/>
  <c r="AC454" i="1"/>
  <c r="AG454" i="1"/>
  <c r="AK454" i="1"/>
  <c r="AO454" i="1"/>
  <c r="AS454" i="1"/>
  <c r="AW454" i="1"/>
  <c r="L477" i="1"/>
  <c r="L468" i="1"/>
  <c r="P477" i="1"/>
  <c r="P468" i="1"/>
  <c r="T477" i="1"/>
  <c r="T468" i="1"/>
  <c r="X477" i="1"/>
  <c r="X468" i="1"/>
  <c r="AB477" i="1"/>
  <c r="AB468" i="1"/>
  <c r="AF477" i="1"/>
  <c r="AF468" i="1"/>
  <c r="AJ477" i="1"/>
  <c r="AJ468" i="1"/>
  <c r="AN477" i="1"/>
  <c r="AN468" i="1"/>
  <c r="AR477" i="1"/>
  <c r="AR468" i="1"/>
  <c r="AV477" i="1"/>
  <c r="AV468" i="1"/>
  <c r="I196" i="1"/>
  <c r="M196" i="1"/>
  <c r="Q196" i="1"/>
  <c r="U196" i="1"/>
  <c r="Y196" i="1"/>
  <c r="AC196" i="1"/>
  <c r="AG196" i="1"/>
  <c r="AK196" i="1"/>
  <c r="AO196" i="1"/>
  <c r="AS196" i="1"/>
  <c r="AW196" i="1"/>
  <c r="G226" i="1"/>
  <c r="K226" i="1"/>
  <c r="K458" i="1"/>
  <c r="K465" i="1"/>
  <c r="O226" i="1"/>
  <c r="O458" i="1"/>
  <c r="O465" i="1"/>
  <c r="S226" i="1"/>
  <c r="S458" i="1"/>
  <c r="S465" i="1"/>
  <c r="W226" i="1"/>
  <c r="W458" i="1"/>
  <c r="W465" i="1"/>
  <c r="AA226" i="1"/>
  <c r="AA458" i="1"/>
  <c r="AA465" i="1"/>
  <c r="AE226" i="1"/>
  <c r="AE458" i="1"/>
  <c r="AE465" i="1"/>
  <c r="AI226" i="1"/>
  <c r="AI458" i="1"/>
  <c r="AI465" i="1"/>
  <c r="AM226" i="1"/>
  <c r="AM458" i="1"/>
  <c r="AM465" i="1"/>
  <c r="AQ226" i="1"/>
  <c r="AQ458" i="1"/>
  <c r="AQ465" i="1"/>
  <c r="AU226" i="1"/>
  <c r="AU458" i="1"/>
  <c r="AU465" i="1"/>
  <c r="F303" i="1"/>
  <c r="J303" i="1"/>
  <c r="J459" i="1"/>
  <c r="J466" i="1"/>
  <c r="N303" i="1"/>
  <c r="N459" i="1"/>
  <c r="N466" i="1"/>
  <c r="R303" i="1"/>
  <c r="R459" i="1"/>
  <c r="R466" i="1"/>
  <c r="V303" i="1"/>
  <c r="V459" i="1"/>
  <c r="V466" i="1"/>
  <c r="Z303" i="1"/>
  <c r="Z459" i="1"/>
  <c r="Z466" i="1"/>
  <c r="AD303" i="1"/>
  <c r="AD459" i="1"/>
  <c r="AD466" i="1"/>
  <c r="AH303" i="1"/>
  <c r="AH459" i="1"/>
  <c r="AH466" i="1"/>
  <c r="AL303" i="1"/>
  <c r="AL459" i="1"/>
  <c r="AL466" i="1"/>
  <c r="AP303" i="1"/>
  <c r="AP459" i="1"/>
  <c r="AP466" i="1"/>
  <c r="AT303" i="1"/>
  <c r="AT459" i="1"/>
  <c r="AT466" i="1"/>
  <c r="AX303" i="1"/>
  <c r="AX459" i="1"/>
  <c r="AX466" i="1"/>
  <c r="I304" i="1"/>
  <c r="M304" i="1"/>
  <c r="Q304" i="1"/>
  <c r="U304" i="1"/>
  <c r="Y304" i="1"/>
  <c r="AC304" i="1"/>
  <c r="AG304" i="1"/>
  <c r="AK304" i="1"/>
  <c r="AO304" i="1"/>
  <c r="AS304" i="1"/>
  <c r="AW304" i="1"/>
  <c r="L305" i="1"/>
  <c r="P305" i="1"/>
  <c r="T305" i="1"/>
  <c r="X305" i="1"/>
  <c r="AB305" i="1"/>
  <c r="AF305" i="1"/>
  <c r="AJ305" i="1"/>
  <c r="AN305" i="1"/>
  <c r="AR305" i="1"/>
  <c r="AV305" i="1"/>
  <c r="F307" i="1"/>
  <c r="J307" i="1"/>
  <c r="N307" i="1"/>
  <c r="R307" i="1"/>
  <c r="V307" i="1"/>
  <c r="Z307" i="1"/>
  <c r="AD307" i="1"/>
  <c r="AH307" i="1"/>
  <c r="AL307" i="1"/>
  <c r="AP307" i="1"/>
  <c r="AT307" i="1"/>
  <c r="AX307" i="1"/>
  <c r="G397" i="1"/>
  <c r="K397" i="1"/>
  <c r="O397" i="1"/>
  <c r="S397" i="1"/>
  <c r="W397" i="1"/>
  <c r="AA397" i="1"/>
  <c r="AE397" i="1"/>
  <c r="AI397" i="1"/>
  <c r="AM397" i="1"/>
  <c r="AQ397" i="1"/>
  <c r="AU397" i="1"/>
  <c r="F398" i="1"/>
  <c r="J398" i="1"/>
  <c r="J460" i="1"/>
  <c r="N398" i="1"/>
  <c r="N460" i="1"/>
  <c r="R398" i="1"/>
  <c r="R460" i="1"/>
  <c r="V398" i="1"/>
  <c r="V460" i="1"/>
  <c r="Z398" i="1"/>
  <c r="Z460" i="1"/>
  <c r="AD398" i="1"/>
  <c r="AD460" i="1"/>
  <c r="AH398" i="1"/>
  <c r="AH460" i="1"/>
  <c r="AL398" i="1"/>
  <c r="AL460" i="1"/>
  <c r="AP398" i="1"/>
  <c r="AP460" i="1"/>
  <c r="AT398" i="1"/>
  <c r="AT460" i="1"/>
  <c r="AX398" i="1"/>
  <c r="AX460" i="1"/>
  <c r="I399" i="1"/>
  <c r="M399" i="1"/>
  <c r="Q399" i="1"/>
  <c r="U399" i="1"/>
  <c r="Y399" i="1"/>
  <c r="AC399" i="1"/>
  <c r="AG399" i="1"/>
  <c r="AK399" i="1"/>
  <c r="AO399" i="1"/>
  <c r="AS399" i="1"/>
  <c r="AW399" i="1"/>
  <c r="L400" i="1"/>
  <c r="P400" i="1"/>
  <c r="T400" i="1"/>
  <c r="X400" i="1"/>
  <c r="AB400" i="1"/>
  <c r="AF400" i="1"/>
  <c r="AJ400" i="1"/>
  <c r="AN400" i="1"/>
  <c r="AR400" i="1"/>
  <c r="AV400" i="1"/>
  <c r="G401" i="1"/>
  <c r="K401" i="1"/>
  <c r="O401" i="1"/>
  <c r="S401" i="1"/>
  <c r="W401" i="1"/>
  <c r="AA401" i="1"/>
  <c r="AE401" i="1"/>
  <c r="AI401" i="1"/>
  <c r="AM401" i="1"/>
  <c r="AQ401" i="1"/>
  <c r="AU401" i="1"/>
  <c r="F402" i="1"/>
  <c r="J402" i="1"/>
  <c r="N402" i="1"/>
  <c r="R402" i="1"/>
  <c r="V402" i="1"/>
  <c r="Z402" i="1"/>
  <c r="AD402" i="1"/>
  <c r="AH402" i="1"/>
  <c r="AL402" i="1"/>
  <c r="AP402" i="1"/>
  <c r="AT402" i="1"/>
  <c r="AX402" i="1"/>
  <c r="G449" i="1"/>
  <c r="K449" i="1"/>
  <c r="O449" i="1"/>
  <c r="S449" i="1"/>
  <c r="W449" i="1"/>
  <c r="AA449" i="1"/>
  <c r="AE449" i="1"/>
  <c r="AI449" i="1"/>
  <c r="AM449" i="1"/>
  <c r="AQ449" i="1"/>
  <c r="AU449" i="1"/>
  <c r="F450" i="1"/>
  <c r="J450" i="1"/>
  <c r="J461" i="1"/>
  <c r="N450" i="1"/>
  <c r="N461" i="1"/>
  <c r="R450" i="1"/>
  <c r="R461" i="1"/>
  <c r="V450" i="1"/>
  <c r="V461" i="1"/>
  <c r="Z450" i="1"/>
  <c r="Z461" i="1"/>
  <c r="AD450" i="1"/>
  <c r="AD461" i="1"/>
  <c r="AH450" i="1"/>
  <c r="AH461" i="1"/>
  <c r="AL450" i="1"/>
  <c r="AL461" i="1"/>
  <c r="AP450" i="1"/>
  <c r="AP461" i="1"/>
  <c r="AT450" i="1"/>
  <c r="AT461" i="1"/>
  <c r="AX450" i="1"/>
  <c r="AX461" i="1"/>
  <c r="I451" i="1"/>
  <c r="M451" i="1"/>
  <c r="Q451" i="1"/>
  <c r="U451" i="1"/>
  <c r="Y451" i="1"/>
  <c r="AC451" i="1"/>
  <c r="AG451" i="1"/>
  <c r="AK451" i="1"/>
  <c r="AO451" i="1"/>
  <c r="AS451" i="1"/>
  <c r="AW451" i="1"/>
  <c r="L452" i="1"/>
  <c r="P452" i="1"/>
  <c r="T452" i="1"/>
  <c r="X452" i="1"/>
  <c r="AB452" i="1"/>
  <c r="AF452" i="1"/>
  <c r="AJ452" i="1"/>
  <c r="AN452" i="1"/>
  <c r="AR452" i="1"/>
  <c r="AV452" i="1"/>
  <c r="G453" i="1"/>
  <c r="K453" i="1"/>
  <c r="O453" i="1"/>
  <c r="S453" i="1"/>
  <c r="W453" i="1"/>
  <c r="AA453" i="1"/>
  <c r="AE453" i="1"/>
  <c r="AI453" i="1"/>
  <c r="AM453" i="1"/>
  <c r="AQ453" i="1"/>
  <c r="AU453" i="1"/>
  <c r="F454" i="1"/>
  <c r="J454" i="1"/>
  <c r="N454" i="1"/>
  <c r="R454" i="1"/>
  <c r="V454" i="1"/>
  <c r="Z454" i="1"/>
  <c r="AD454" i="1"/>
  <c r="AH454" i="1"/>
  <c r="AL454" i="1"/>
  <c r="AP454" i="1"/>
  <c r="AT454" i="1"/>
  <c r="AX454" i="1"/>
  <c r="L302" i="1"/>
  <c r="P302" i="1"/>
  <c r="T302" i="1"/>
  <c r="X302" i="1"/>
  <c r="AB302" i="1"/>
  <c r="AF302" i="1"/>
  <c r="AJ302" i="1"/>
  <c r="AN302" i="1"/>
  <c r="AR302" i="1"/>
  <c r="AV302" i="1"/>
  <c r="L397" i="1"/>
  <c r="P397" i="1"/>
  <c r="T397" i="1"/>
  <c r="X397" i="1"/>
  <c r="AB397" i="1"/>
  <c r="AF397" i="1"/>
  <c r="AJ397" i="1"/>
  <c r="AN397" i="1"/>
  <c r="AR397" i="1"/>
  <c r="AV397" i="1"/>
  <c r="G398" i="1"/>
  <c r="G460" i="1"/>
  <c r="K398" i="1"/>
  <c r="K460" i="1"/>
  <c r="O398" i="1"/>
  <c r="O460" i="1"/>
  <c r="S398" i="1"/>
  <c r="S460" i="1"/>
  <c r="W398" i="1"/>
  <c r="W460" i="1"/>
  <c r="AA398" i="1"/>
  <c r="AA460" i="1"/>
  <c r="AE398" i="1"/>
  <c r="AE460" i="1"/>
  <c r="AI398" i="1"/>
  <c r="AI460" i="1"/>
  <c r="AM398" i="1"/>
  <c r="AM460" i="1"/>
  <c r="AQ398" i="1"/>
  <c r="AQ460" i="1"/>
  <c r="AU398" i="1"/>
  <c r="AU460" i="1"/>
  <c r="L449" i="1"/>
  <c r="P449" i="1"/>
  <c r="T449" i="1"/>
  <c r="X449" i="1"/>
  <c r="AB449" i="1"/>
  <c r="AF449" i="1"/>
  <c r="AJ449" i="1"/>
  <c r="AN449" i="1"/>
  <c r="AR449" i="1"/>
  <c r="AV449" i="1"/>
  <c r="G450" i="1"/>
  <c r="G461" i="1"/>
  <c r="K450" i="1"/>
  <c r="K461" i="1"/>
  <c r="O450" i="1"/>
  <c r="O461" i="1"/>
  <c r="S450" i="1"/>
  <c r="S461" i="1"/>
  <c r="W450" i="1"/>
  <c r="W461" i="1"/>
  <c r="AA450" i="1"/>
  <c r="AA461" i="1"/>
  <c r="AE450" i="1"/>
  <c r="AE461" i="1"/>
  <c r="AI450" i="1"/>
  <c r="AI461" i="1"/>
  <c r="AM450" i="1"/>
  <c r="AM461" i="1"/>
  <c r="AQ450" i="1"/>
  <c r="AQ461" i="1"/>
  <c r="AU450" i="1"/>
  <c r="AU461" i="1"/>
  <c r="F477" i="1"/>
  <c r="F468" i="1"/>
  <c r="J477" i="1"/>
  <c r="J468" i="1"/>
  <c r="N477" i="1"/>
  <c r="N468" i="1"/>
  <c r="R477" i="1"/>
  <c r="R468" i="1"/>
  <c r="V477" i="1"/>
  <c r="V468" i="1"/>
  <c r="Z477" i="1"/>
  <c r="Z468" i="1"/>
  <c r="AD477" i="1"/>
  <c r="AD468" i="1"/>
  <c r="AH477" i="1"/>
  <c r="AH468" i="1"/>
  <c r="AL477" i="1"/>
  <c r="AL468" i="1"/>
  <c r="AP477" i="1"/>
  <c r="AP468" i="1"/>
  <c r="AT477" i="1"/>
  <c r="AT468" i="1"/>
  <c r="AX477" i="1"/>
  <c r="AX468" i="1"/>
  <c r="I507" i="1"/>
  <c r="M507" i="1"/>
  <c r="Q507" i="1"/>
  <c r="U507" i="1"/>
  <c r="Y507" i="1"/>
  <c r="AC507" i="1"/>
  <c r="AG507" i="1"/>
  <c r="AK507" i="1"/>
  <c r="AO507" i="1"/>
  <c r="AS507" i="1"/>
  <c r="AW507" i="1"/>
  <c r="M504" i="1"/>
  <c r="U504" i="1"/>
  <c r="AC504" i="1"/>
  <c r="AK504" i="1"/>
  <c r="AS504" i="1"/>
  <c r="P505" i="1"/>
  <c r="P479" i="1"/>
  <c r="X505" i="1"/>
  <c r="X479" i="1"/>
  <c r="AF505" i="1"/>
  <c r="AF479" i="1"/>
  <c r="AN505" i="1"/>
  <c r="AN479" i="1"/>
  <c r="AV505" i="1"/>
  <c r="AV479" i="1"/>
  <c r="K506" i="1"/>
  <c r="S506" i="1"/>
  <c r="AA506" i="1"/>
  <c r="AI506" i="1"/>
  <c r="AQ506" i="1"/>
  <c r="I508" i="1"/>
  <c r="Q508" i="1"/>
  <c r="Y508" i="1"/>
  <c r="AG508" i="1"/>
  <c r="AO508" i="1"/>
  <c r="AW508" i="1"/>
  <c r="L509" i="1"/>
  <c r="T509" i="1"/>
  <c r="AB509" i="1"/>
  <c r="AJ509" i="1"/>
  <c r="AR509" i="1"/>
  <c r="K528" i="1"/>
  <c r="K524" i="1"/>
  <c r="K527" i="1"/>
  <c r="K526" i="1"/>
  <c r="K529" i="1"/>
  <c r="K525" i="1"/>
  <c r="K480" i="1"/>
  <c r="O528" i="1"/>
  <c r="O524" i="1"/>
  <c r="O527" i="1"/>
  <c r="O526" i="1"/>
  <c r="O529" i="1"/>
  <c r="O525" i="1"/>
  <c r="O480" i="1"/>
  <c r="S528" i="1"/>
  <c r="S524" i="1"/>
  <c r="S527" i="1"/>
  <c r="S526" i="1"/>
  <c r="S529" i="1"/>
  <c r="S525" i="1"/>
  <c r="S480" i="1"/>
  <c r="W528" i="1"/>
  <c r="W524" i="1"/>
  <c r="W527" i="1"/>
  <c r="W526" i="1"/>
  <c r="W529" i="1"/>
  <c r="W525" i="1"/>
  <c r="W480" i="1"/>
  <c r="AA528" i="1"/>
  <c r="AA524" i="1"/>
  <c r="AA527" i="1"/>
  <c r="AA526" i="1"/>
  <c r="AA529" i="1"/>
  <c r="AA525" i="1"/>
  <c r="AA480" i="1"/>
  <c r="AE528" i="1"/>
  <c r="AE524" i="1"/>
  <c r="AE527" i="1"/>
  <c r="AE526" i="1"/>
  <c r="AE529" i="1"/>
  <c r="AE525" i="1"/>
  <c r="AE480" i="1"/>
  <c r="AI528" i="1"/>
  <c r="AI524" i="1"/>
  <c r="AI527" i="1"/>
  <c r="AI526" i="1"/>
  <c r="AI529" i="1"/>
  <c r="AI525" i="1"/>
  <c r="AI480" i="1"/>
  <c r="AM528" i="1"/>
  <c r="AM524" i="1"/>
  <c r="AM527" i="1"/>
  <c r="AM526" i="1"/>
  <c r="AM529" i="1"/>
  <c r="AM525" i="1"/>
  <c r="AM480" i="1"/>
  <c r="AQ528" i="1"/>
  <c r="AQ524" i="1"/>
  <c r="AQ527" i="1"/>
  <c r="AQ526" i="1"/>
  <c r="AQ529" i="1"/>
  <c r="AQ525" i="1"/>
  <c r="AQ480" i="1"/>
  <c r="AU528" i="1"/>
  <c r="AU524" i="1"/>
  <c r="AU527" i="1"/>
  <c r="AU526" i="1"/>
  <c r="AU529" i="1"/>
  <c r="AU525" i="1"/>
  <c r="AU480" i="1"/>
  <c r="F506" i="1"/>
  <c r="F508" i="1"/>
  <c r="F504" i="1"/>
  <c r="J506" i="1"/>
  <c r="J508" i="1"/>
  <c r="J504" i="1"/>
  <c r="N506" i="1"/>
  <c r="N508" i="1"/>
  <c r="N504" i="1"/>
  <c r="R506" i="1"/>
  <c r="R508" i="1"/>
  <c r="R504" i="1"/>
  <c r="V506" i="1"/>
  <c r="V508" i="1"/>
  <c r="V504" i="1"/>
  <c r="Z506" i="1"/>
  <c r="Z508" i="1"/>
  <c r="Z504" i="1"/>
  <c r="AD506" i="1"/>
  <c r="AD508" i="1"/>
  <c r="AD504" i="1"/>
  <c r="AH506" i="1"/>
  <c r="AH508" i="1"/>
  <c r="AH504" i="1"/>
  <c r="AL506" i="1"/>
  <c r="AL508" i="1"/>
  <c r="AL504" i="1"/>
  <c r="AP506" i="1"/>
  <c r="AP508" i="1"/>
  <c r="AP504" i="1"/>
  <c r="AT506" i="1"/>
  <c r="AT508" i="1"/>
  <c r="AT504" i="1"/>
  <c r="AX506" i="1"/>
  <c r="AX508" i="1"/>
  <c r="AX504" i="1"/>
  <c r="J505" i="1"/>
  <c r="J479" i="1"/>
  <c r="R505" i="1"/>
  <c r="R479" i="1"/>
  <c r="Z505" i="1"/>
  <c r="Z479" i="1"/>
  <c r="AH505" i="1"/>
  <c r="AH479" i="1"/>
  <c r="AP505" i="1"/>
  <c r="AP479" i="1"/>
  <c r="AX505" i="1"/>
  <c r="AX479" i="1"/>
  <c r="F509" i="1"/>
  <c r="N509" i="1"/>
  <c r="V509" i="1"/>
  <c r="AD509" i="1"/>
  <c r="AL509" i="1"/>
  <c r="AT509" i="1"/>
  <c r="G528" i="1"/>
  <c r="G524" i="1"/>
  <c r="G527" i="1"/>
  <c r="G526" i="1"/>
  <c r="G529" i="1"/>
  <c r="G525" i="1"/>
  <c r="G480" i="1"/>
  <c r="G509" i="1"/>
  <c r="I504" i="1"/>
  <c r="Q504" i="1"/>
  <c r="Y504" i="1"/>
  <c r="AG504" i="1"/>
  <c r="AO504" i="1"/>
  <c r="AW504" i="1"/>
  <c r="G506" i="1"/>
  <c r="O506" i="1"/>
  <c r="W506" i="1"/>
  <c r="AE506" i="1"/>
  <c r="AM506" i="1"/>
  <c r="AU506" i="1"/>
  <c r="J507" i="1"/>
  <c r="R507" i="1"/>
  <c r="Z507" i="1"/>
  <c r="AH507" i="1"/>
  <c r="AP507" i="1"/>
  <c r="AX507" i="1"/>
  <c r="I526" i="1"/>
  <c r="I529" i="1"/>
  <c r="I525" i="1"/>
  <c r="I480" i="1"/>
  <c r="I528" i="1"/>
  <c r="I524" i="1"/>
  <c r="I527" i="1"/>
  <c r="M526" i="1"/>
  <c r="M529" i="1"/>
  <c r="M525" i="1"/>
  <c r="M480" i="1"/>
  <c r="M528" i="1"/>
  <c r="M524" i="1"/>
  <c r="M527" i="1"/>
  <c r="Q526" i="1"/>
  <c r="Q529" i="1"/>
  <c r="Q525" i="1"/>
  <c r="Q480" i="1"/>
  <c r="Q528" i="1"/>
  <c r="Q524" i="1"/>
  <c r="Q527" i="1"/>
  <c r="U526" i="1"/>
  <c r="U529" i="1"/>
  <c r="U525" i="1"/>
  <c r="U480" i="1"/>
  <c r="U528" i="1"/>
  <c r="U524" i="1"/>
  <c r="U527" i="1"/>
  <c r="Y526" i="1"/>
  <c r="Y529" i="1"/>
  <c r="Y525" i="1"/>
  <c r="Y480" i="1"/>
  <c r="Y528" i="1"/>
  <c r="Y524" i="1"/>
  <c r="Y527" i="1"/>
  <c r="AC526" i="1"/>
  <c r="AC529" i="1"/>
  <c r="AC525" i="1"/>
  <c r="AC480" i="1"/>
  <c r="AC528" i="1"/>
  <c r="AC524" i="1"/>
  <c r="AC527" i="1"/>
  <c r="AG526" i="1"/>
  <c r="AG529" i="1"/>
  <c r="AG525" i="1"/>
  <c r="AG480" i="1"/>
  <c r="AG528" i="1"/>
  <c r="AG524" i="1"/>
  <c r="AG527" i="1"/>
  <c r="AK526" i="1"/>
  <c r="AK529" i="1"/>
  <c r="AK525" i="1"/>
  <c r="AK480" i="1"/>
  <c r="AK528" i="1"/>
  <c r="AK524" i="1"/>
  <c r="AK527" i="1"/>
  <c r="AO526" i="1"/>
  <c r="AO529" i="1"/>
  <c r="AO525" i="1"/>
  <c r="AO480" i="1"/>
  <c r="AO528" i="1"/>
  <c r="AO524" i="1"/>
  <c r="AO527" i="1"/>
  <c r="AS526" i="1"/>
  <c r="AS529" i="1"/>
  <c r="AS525" i="1"/>
  <c r="AS480" i="1"/>
  <c r="AS528" i="1"/>
  <c r="AS524" i="1"/>
  <c r="AS527" i="1"/>
  <c r="AW526" i="1"/>
  <c r="AW529" i="1"/>
  <c r="AW525" i="1"/>
  <c r="AW480" i="1"/>
  <c r="AW528" i="1"/>
  <c r="AW524" i="1"/>
  <c r="AW527" i="1"/>
  <c r="L529" i="1"/>
  <c r="L525" i="1"/>
  <c r="L480" i="1"/>
  <c r="P529" i="1"/>
  <c r="P525" i="1"/>
  <c r="P480" i="1"/>
  <c r="T529" i="1"/>
  <c r="T525" i="1"/>
  <c r="T480" i="1"/>
  <c r="X529" i="1"/>
  <c r="X525" i="1"/>
  <c r="X480" i="1"/>
  <c r="AB529" i="1"/>
  <c r="AB525" i="1"/>
  <c r="AB480" i="1"/>
  <c r="AF529" i="1"/>
  <c r="AF525" i="1"/>
  <c r="AF480" i="1"/>
  <c r="AJ529" i="1"/>
  <c r="AJ525" i="1"/>
  <c r="AJ480" i="1"/>
  <c r="AN529" i="1"/>
  <c r="AN525" i="1"/>
  <c r="AN480" i="1"/>
  <c r="AR529" i="1"/>
  <c r="AR525" i="1"/>
  <c r="AR480" i="1"/>
  <c r="AV529" i="1"/>
  <c r="AV525" i="1"/>
  <c r="AV480" i="1"/>
  <c r="L508" i="1"/>
  <c r="L504" i="1"/>
  <c r="L506" i="1"/>
  <c r="P508" i="1"/>
  <c r="P504" i="1"/>
  <c r="P506" i="1"/>
  <c r="T508" i="1"/>
  <c r="T504" i="1"/>
  <c r="T506" i="1"/>
  <c r="X508" i="1"/>
  <c r="X504" i="1"/>
  <c r="X506" i="1"/>
  <c r="AB508" i="1"/>
  <c r="AB504" i="1"/>
  <c r="AB506" i="1"/>
  <c r="AF508" i="1"/>
  <c r="AF504" i="1"/>
  <c r="AF506" i="1"/>
  <c r="AJ508" i="1"/>
  <c r="AJ504" i="1"/>
  <c r="AJ506" i="1"/>
  <c r="AN508" i="1"/>
  <c r="AN504" i="1"/>
  <c r="AN506" i="1"/>
  <c r="AR508" i="1"/>
  <c r="AR504" i="1"/>
  <c r="AR506" i="1"/>
  <c r="AV508" i="1"/>
  <c r="AV504" i="1"/>
  <c r="AV506" i="1"/>
  <c r="F505" i="1"/>
  <c r="N505" i="1"/>
  <c r="N479" i="1"/>
  <c r="V505" i="1"/>
  <c r="V479" i="1"/>
  <c r="AD505" i="1"/>
  <c r="AD479" i="1"/>
  <c r="AL505" i="1"/>
  <c r="AL479" i="1"/>
  <c r="AT505" i="1"/>
  <c r="AT479" i="1"/>
  <c r="L507" i="1"/>
  <c r="T507" i="1"/>
  <c r="AB507" i="1"/>
  <c r="AJ507" i="1"/>
  <c r="AR507" i="1"/>
  <c r="J509" i="1"/>
  <c r="R509" i="1"/>
  <c r="Z509" i="1"/>
  <c r="AH509" i="1"/>
  <c r="AP509" i="1"/>
  <c r="AX509" i="1"/>
  <c r="J529" i="1"/>
  <c r="N529" i="1"/>
  <c r="R529" i="1"/>
  <c r="V529" i="1"/>
  <c r="Z529" i="1"/>
  <c r="AD529" i="1"/>
  <c r="AH529" i="1"/>
  <c r="AL529" i="1"/>
  <c r="AP529" i="1"/>
  <c r="AT529" i="1"/>
  <c r="AX529" i="1"/>
  <c r="I505" i="1"/>
  <c r="I479" i="1"/>
  <c r="M505" i="1"/>
  <c r="M479" i="1"/>
  <c r="Q505" i="1"/>
  <c r="Q479" i="1"/>
  <c r="U505" i="1"/>
  <c r="U479" i="1"/>
  <c r="Y505" i="1"/>
  <c r="Y479" i="1"/>
  <c r="AC505" i="1"/>
  <c r="AC479" i="1"/>
  <c r="AG505" i="1"/>
  <c r="AG479" i="1"/>
  <c r="AK505" i="1"/>
  <c r="AK479" i="1"/>
  <c r="AO505" i="1"/>
  <c r="AO479" i="1"/>
  <c r="AS505" i="1"/>
  <c r="AS479" i="1"/>
  <c r="AW505" i="1"/>
  <c r="AW479" i="1"/>
  <c r="G507" i="1"/>
  <c r="K507" i="1"/>
  <c r="O507" i="1"/>
  <c r="S507" i="1"/>
  <c r="W507" i="1"/>
  <c r="AA507" i="1"/>
  <c r="AE507" i="1"/>
  <c r="AI507" i="1"/>
  <c r="AM507" i="1"/>
  <c r="AQ507" i="1"/>
  <c r="AU507" i="1"/>
  <c r="I509" i="1"/>
  <c r="M509" i="1"/>
  <c r="Q509" i="1"/>
  <c r="U509" i="1"/>
  <c r="Y509" i="1"/>
  <c r="AC509" i="1"/>
  <c r="AG509" i="1"/>
  <c r="AK509" i="1"/>
  <c r="AO509" i="1"/>
  <c r="AS509" i="1"/>
  <c r="AW509" i="1"/>
  <c r="L524" i="1"/>
  <c r="P524" i="1"/>
  <c r="T524" i="1"/>
  <c r="X524" i="1"/>
  <c r="AB524" i="1"/>
  <c r="AF524" i="1"/>
  <c r="AJ524" i="1"/>
  <c r="AN524" i="1"/>
  <c r="AR524" i="1"/>
  <c r="AV524" i="1"/>
  <c r="F526" i="1"/>
  <c r="J526" i="1"/>
  <c r="N526" i="1"/>
  <c r="R526" i="1"/>
  <c r="V526" i="1"/>
  <c r="Z526" i="1"/>
  <c r="AD526" i="1"/>
  <c r="AH526" i="1"/>
  <c r="AL526" i="1"/>
  <c r="AP526" i="1"/>
  <c r="AT526" i="1"/>
  <c r="AX526" i="1"/>
  <c r="L528" i="1"/>
  <c r="P528" i="1"/>
  <c r="T528" i="1"/>
  <c r="X528" i="1"/>
  <c r="AB528" i="1"/>
  <c r="AF528" i="1"/>
  <c r="AJ528" i="1"/>
  <c r="AN528" i="1"/>
  <c r="AR528" i="1"/>
  <c r="AV528" i="1"/>
  <c r="L538" i="1"/>
  <c r="P538" i="1"/>
  <c r="T538" i="1"/>
  <c r="X538" i="1"/>
  <c r="AB538" i="1"/>
  <c r="AF538" i="1"/>
  <c r="AJ538" i="1"/>
  <c r="AN538" i="1"/>
  <c r="AR538" i="1"/>
  <c r="AV538" i="1"/>
  <c r="G539" i="1"/>
  <c r="G481" i="1"/>
  <c r="K539" i="1"/>
  <c r="K481" i="1"/>
  <c r="O539" i="1"/>
  <c r="O481" i="1"/>
  <c r="S539" i="1"/>
  <c r="S481" i="1"/>
  <c r="W539" i="1"/>
  <c r="W481" i="1"/>
  <c r="AA539" i="1"/>
  <c r="AA481" i="1"/>
  <c r="AE539" i="1"/>
  <c r="AE481" i="1"/>
  <c r="AI539" i="1"/>
  <c r="AI481" i="1"/>
  <c r="AM539" i="1"/>
  <c r="AM481" i="1"/>
  <c r="AQ539" i="1"/>
  <c r="AQ481" i="1"/>
  <c r="AU539" i="1"/>
  <c r="AU481" i="1"/>
  <c r="F540" i="1"/>
  <c r="J540" i="1"/>
  <c r="N540" i="1"/>
  <c r="R540" i="1"/>
  <c r="V540" i="1"/>
  <c r="Z540" i="1"/>
  <c r="AD540" i="1"/>
  <c r="AH540" i="1"/>
  <c r="AL540" i="1"/>
  <c r="AP540" i="1"/>
  <c r="AT540" i="1"/>
  <c r="AX540" i="1"/>
  <c r="I541" i="1"/>
  <c r="M541" i="1"/>
  <c r="Q541" i="1"/>
  <c r="U541" i="1"/>
  <c r="Y541" i="1"/>
  <c r="AC541" i="1"/>
  <c r="AG541" i="1"/>
  <c r="AK541" i="1"/>
  <c r="AO541" i="1"/>
  <c r="AS541" i="1"/>
  <c r="AW541" i="1"/>
  <c r="L542" i="1"/>
  <c r="P542" i="1"/>
  <c r="T542" i="1"/>
  <c r="X542" i="1"/>
  <c r="AB542" i="1"/>
  <c r="AF542" i="1"/>
  <c r="AJ542" i="1"/>
  <c r="AN542" i="1"/>
  <c r="AR542" i="1"/>
  <c r="AV542" i="1"/>
  <c r="G543" i="1"/>
  <c r="K543" i="1"/>
  <c r="O543" i="1"/>
  <c r="S543" i="1"/>
  <c r="W543" i="1"/>
  <c r="AA543" i="1"/>
  <c r="AE543" i="1"/>
  <c r="AI543" i="1"/>
  <c r="AM543" i="1"/>
  <c r="AQ543" i="1"/>
  <c r="AU543" i="1"/>
  <c r="I571" i="1"/>
  <c r="M571" i="1"/>
  <c r="Q571" i="1"/>
  <c r="U571" i="1"/>
  <c r="Y571" i="1"/>
  <c r="AC571" i="1"/>
  <c r="AG571" i="1"/>
  <c r="AK571" i="1"/>
  <c r="AO571" i="1"/>
  <c r="AS571" i="1"/>
  <c r="AW571" i="1"/>
  <c r="L572" i="1"/>
  <c r="L482" i="1"/>
  <c r="P572" i="1"/>
  <c r="P482" i="1"/>
  <c r="T572" i="1"/>
  <c r="T482" i="1"/>
  <c r="X572" i="1"/>
  <c r="X482" i="1"/>
  <c r="AB572" i="1"/>
  <c r="AB482" i="1"/>
  <c r="AF572" i="1"/>
  <c r="AF482" i="1"/>
  <c r="AJ572" i="1"/>
  <c r="AJ482" i="1"/>
  <c r="AN572" i="1"/>
  <c r="AN482" i="1"/>
  <c r="AR572" i="1"/>
  <c r="AR482" i="1"/>
  <c r="AV572" i="1"/>
  <c r="AV482" i="1"/>
  <c r="G573" i="1"/>
  <c r="K573" i="1"/>
  <c r="O573" i="1"/>
  <c r="S573" i="1"/>
  <c r="W573" i="1"/>
  <c r="AA573" i="1"/>
  <c r="AE573" i="1"/>
  <c r="AI573" i="1"/>
  <c r="AM573" i="1"/>
  <c r="AQ573" i="1"/>
  <c r="AU573" i="1"/>
  <c r="F574" i="1"/>
  <c r="J574" i="1"/>
  <c r="N574" i="1"/>
  <c r="R574" i="1"/>
  <c r="V574" i="1"/>
  <c r="Z574" i="1"/>
  <c r="AD574" i="1"/>
  <c r="AH574" i="1"/>
  <c r="AL574" i="1"/>
  <c r="AP574" i="1"/>
  <c r="AT574" i="1"/>
  <c r="AX574" i="1"/>
  <c r="I575" i="1"/>
  <c r="M575" i="1"/>
  <c r="Q575" i="1"/>
  <c r="U575" i="1"/>
  <c r="Y575" i="1"/>
  <c r="AC575" i="1"/>
  <c r="AG575" i="1"/>
  <c r="AK575" i="1"/>
  <c r="AO575" i="1"/>
  <c r="AS575" i="1"/>
  <c r="AW575" i="1"/>
  <c r="L576" i="1"/>
  <c r="P576" i="1"/>
  <c r="T576" i="1"/>
  <c r="X576" i="1"/>
  <c r="AB576" i="1"/>
  <c r="AF576" i="1"/>
  <c r="AJ576" i="1"/>
  <c r="AN576" i="1"/>
  <c r="AR576" i="1"/>
  <c r="AV576" i="1"/>
  <c r="G592" i="1"/>
  <c r="G591" i="1"/>
  <c r="G587" i="1"/>
  <c r="G589" i="1"/>
  <c r="K592" i="1"/>
  <c r="K591" i="1"/>
  <c r="K587" i="1"/>
  <c r="K589" i="1"/>
  <c r="O592" i="1"/>
  <c r="O591" i="1"/>
  <c r="O587" i="1"/>
  <c r="O589" i="1"/>
  <c r="S592" i="1"/>
  <c r="S591" i="1"/>
  <c r="S587" i="1"/>
  <c r="S589" i="1"/>
  <c r="W592" i="1"/>
  <c r="W591" i="1"/>
  <c r="W587" i="1"/>
  <c r="W589" i="1"/>
  <c r="AA592" i="1"/>
  <c r="AA591" i="1"/>
  <c r="AA587" i="1"/>
  <c r="AA589" i="1"/>
  <c r="AE592" i="1"/>
  <c r="AE591" i="1"/>
  <c r="AE587" i="1"/>
  <c r="AE589" i="1"/>
  <c r="AI592" i="1"/>
  <c r="AI591" i="1"/>
  <c r="AI587" i="1"/>
  <c r="AI589" i="1"/>
  <c r="AM592" i="1"/>
  <c r="AM588" i="1"/>
  <c r="AM483" i="1"/>
  <c r="AM591" i="1"/>
  <c r="AM587" i="1"/>
  <c r="AM589" i="1"/>
  <c r="AQ592" i="1"/>
  <c r="AQ588" i="1"/>
  <c r="AQ483" i="1"/>
  <c r="AQ591" i="1"/>
  <c r="AQ587" i="1"/>
  <c r="AQ589" i="1"/>
  <c r="AU592" i="1"/>
  <c r="AU588" i="1"/>
  <c r="AU483" i="1"/>
  <c r="AU591" i="1"/>
  <c r="AU587" i="1"/>
  <c r="AU589" i="1"/>
  <c r="F587" i="1"/>
  <c r="N587" i="1"/>
  <c r="V587" i="1"/>
  <c r="AD587" i="1"/>
  <c r="AL587" i="1"/>
  <c r="AT587" i="1"/>
  <c r="I588" i="1"/>
  <c r="I483" i="1"/>
  <c r="Y588" i="1"/>
  <c r="Y483" i="1"/>
  <c r="AS588" i="1"/>
  <c r="AS483" i="1"/>
  <c r="S590" i="1"/>
  <c r="AI590" i="1"/>
  <c r="G606" i="1"/>
  <c r="I538" i="1"/>
  <c r="M538" i="1"/>
  <c r="Q538" i="1"/>
  <c r="U538" i="1"/>
  <c r="Y538" i="1"/>
  <c r="AC538" i="1"/>
  <c r="AG538" i="1"/>
  <c r="AK538" i="1"/>
  <c r="AO538" i="1"/>
  <c r="AS538" i="1"/>
  <c r="AW538" i="1"/>
  <c r="L539" i="1"/>
  <c r="L481" i="1"/>
  <c r="P539" i="1"/>
  <c r="P481" i="1"/>
  <c r="T539" i="1"/>
  <c r="T481" i="1"/>
  <c r="X539" i="1"/>
  <c r="X481" i="1"/>
  <c r="AB539" i="1"/>
  <c r="AB481" i="1"/>
  <c r="AF539" i="1"/>
  <c r="AF481" i="1"/>
  <c r="AJ539" i="1"/>
  <c r="AJ481" i="1"/>
  <c r="AN539" i="1"/>
  <c r="AN481" i="1"/>
  <c r="AR539" i="1"/>
  <c r="AR481" i="1"/>
  <c r="AV539" i="1"/>
  <c r="AV481" i="1"/>
  <c r="G540" i="1"/>
  <c r="K540" i="1"/>
  <c r="O540" i="1"/>
  <c r="S540" i="1"/>
  <c r="W540" i="1"/>
  <c r="AA540" i="1"/>
  <c r="AE540" i="1"/>
  <c r="AI540" i="1"/>
  <c r="AM540" i="1"/>
  <c r="AQ540" i="1"/>
  <c r="AU540" i="1"/>
  <c r="F541" i="1"/>
  <c r="J541" i="1"/>
  <c r="N541" i="1"/>
  <c r="R541" i="1"/>
  <c r="V541" i="1"/>
  <c r="Z541" i="1"/>
  <c r="AD541" i="1"/>
  <c r="AH541" i="1"/>
  <c r="AL541" i="1"/>
  <c r="AP541" i="1"/>
  <c r="AT541" i="1"/>
  <c r="AX541" i="1"/>
  <c r="I542" i="1"/>
  <c r="M542" i="1"/>
  <c r="Q542" i="1"/>
  <c r="U542" i="1"/>
  <c r="Y542" i="1"/>
  <c r="AC542" i="1"/>
  <c r="AG542" i="1"/>
  <c r="AK542" i="1"/>
  <c r="AO542" i="1"/>
  <c r="AS542" i="1"/>
  <c r="AW542" i="1"/>
  <c r="L543" i="1"/>
  <c r="P543" i="1"/>
  <c r="T543" i="1"/>
  <c r="X543" i="1"/>
  <c r="AB543" i="1"/>
  <c r="AF543" i="1"/>
  <c r="AJ543" i="1"/>
  <c r="AN543" i="1"/>
  <c r="AR543" i="1"/>
  <c r="AV543" i="1"/>
  <c r="F571" i="1"/>
  <c r="J571" i="1"/>
  <c r="N571" i="1"/>
  <c r="R571" i="1"/>
  <c r="V571" i="1"/>
  <c r="Z571" i="1"/>
  <c r="AD571" i="1"/>
  <c r="AH571" i="1"/>
  <c r="AL571" i="1"/>
  <c r="AP571" i="1"/>
  <c r="AT571" i="1"/>
  <c r="AX571" i="1"/>
  <c r="I572" i="1"/>
  <c r="I482" i="1"/>
  <c r="M572" i="1"/>
  <c r="M482" i="1"/>
  <c r="Q572" i="1"/>
  <c r="Q482" i="1"/>
  <c r="U572" i="1"/>
  <c r="U482" i="1"/>
  <c r="Y572" i="1"/>
  <c r="Y482" i="1"/>
  <c r="AC572" i="1"/>
  <c r="AC482" i="1"/>
  <c r="AG572" i="1"/>
  <c r="AG482" i="1"/>
  <c r="AK572" i="1"/>
  <c r="AK482" i="1"/>
  <c r="AO572" i="1"/>
  <c r="AO482" i="1"/>
  <c r="AS572" i="1"/>
  <c r="AS482" i="1"/>
  <c r="AW572" i="1"/>
  <c r="AW482" i="1"/>
  <c r="L573" i="1"/>
  <c r="P573" i="1"/>
  <c r="T573" i="1"/>
  <c r="X573" i="1"/>
  <c r="AB573" i="1"/>
  <c r="AF573" i="1"/>
  <c r="AJ573" i="1"/>
  <c r="AN573" i="1"/>
  <c r="AR573" i="1"/>
  <c r="AV573" i="1"/>
  <c r="G574" i="1"/>
  <c r="K574" i="1"/>
  <c r="O574" i="1"/>
  <c r="S574" i="1"/>
  <c r="W574" i="1"/>
  <c r="AA574" i="1"/>
  <c r="AE574" i="1"/>
  <c r="AI574" i="1"/>
  <c r="AM574" i="1"/>
  <c r="AQ574" i="1"/>
  <c r="AU574" i="1"/>
  <c r="F575" i="1"/>
  <c r="J575" i="1"/>
  <c r="N575" i="1"/>
  <c r="R575" i="1"/>
  <c r="V575" i="1"/>
  <c r="Z575" i="1"/>
  <c r="AD575" i="1"/>
  <c r="AH575" i="1"/>
  <c r="AL575" i="1"/>
  <c r="AP575" i="1"/>
  <c r="AT575" i="1"/>
  <c r="AX575" i="1"/>
  <c r="I576" i="1"/>
  <c r="M576" i="1"/>
  <c r="Q576" i="1"/>
  <c r="U576" i="1"/>
  <c r="Y576" i="1"/>
  <c r="AC576" i="1"/>
  <c r="AG576" i="1"/>
  <c r="AK576" i="1"/>
  <c r="AO576" i="1"/>
  <c r="AS576" i="1"/>
  <c r="AW576" i="1"/>
  <c r="L591" i="1"/>
  <c r="L590" i="1"/>
  <c r="L592" i="1"/>
  <c r="L588" i="1"/>
  <c r="L483" i="1"/>
  <c r="P591" i="1"/>
  <c r="P590" i="1"/>
  <c r="P592" i="1"/>
  <c r="P588" i="1"/>
  <c r="P483" i="1"/>
  <c r="T591" i="1"/>
  <c r="T590" i="1"/>
  <c r="T592" i="1"/>
  <c r="T588" i="1"/>
  <c r="T483" i="1"/>
  <c r="X591" i="1"/>
  <c r="X590" i="1"/>
  <c r="X592" i="1"/>
  <c r="X588" i="1"/>
  <c r="X483" i="1"/>
  <c r="AB591" i="1"/>
  <c r="AB590" i="1"/>
  <c r="AB592" i="1"/>
  <c r="AB588" i="1"/>
  <c r="AB483" i="1"/>
  <c r="AF591" i="1"/>
  <c r="AF590" i="1"/>
  <c r="AF592" i="1"/>
  <c r="AF588" i="1"/>
  <c r="AF483" i="1"/>
  <c r="AJ591" i="1"/>
  <c r="AJ590" i="1"/>
  <c r="AJ592" i="1"/>
  <c r="AJ588" i="1"/>
  <c r="AJ483" i="1"/>
  <c r="AN591" i="1"/>
  <c r="AN590" i="1"/>
  <c r="AN592" i="1"/>
  <c r="AN588" i="1"/>
  <c r="AN483" i="1"/>
  <c r="AR591" i="1"/>
  <c r="AR590" i="1"/>
  <c r="AR592" i="1"/>
  <c r="AR588" i="1"/>
  <c r="AR483" i="1"/>
  <c r="AV591" i="1"/>
  <c r="AV590" i="1"/>
  <c r="AV592" i="1"/>
  <c r="AV588" i="1"/>
  <c r="AV483" i="1"/>
  <c r="P587" i="1"/>
  <c r="X587" i="1"/>
  <c r="AF587" i="1"/>
  <c r="AN587" i="1"/>
  <c r="AV587" i="1"/>
  <c r="K588" i="1"/>
  <c r="K483" i="1"/>
  <c r="S588" i="1"/>
  <c r="S483" i="1"/>
  <c r="AA588" i="1"/>
  <c r="AA483" i="1"/>
  <c r="AI588" i="1"/>
  <c r="AI483" i="1"/>
  <c r="T589" i="1"/>
  <c r="AJ589" i="1"/>
  <c r="G590" i="1"/>
  <c r="W590" i="1"/>
  <c r="AM590" i="1"/>
  <c r="J591" i="1"/>
  <c r="Z591" i="1"/>
  <c r="AP591" i="1"/>
  <c r="L605" i="1"/>
  <c r="L601" i="1"/>
  <c r="L604" i="1"/>
  <c r="L603" i="1"/>
  <c r="L606" i="1"/>
  <c r="L602" i="1"/>
  <c r="L484" i="1"/>
  <c r="P605" i="1"/>
  <c r="P601" i="1"/>
  <c r="P604" i="1"/>
  <c r="P603" i="1"/>
  <c r="P606" i="1"/>
  <c r="P602" i="1"/>
  <c r="P484" i="1"/>
  <c r="T605" i="1"/>
  <c r="T601" i="1"/>
  <c r="T604" i="1"/>
  <c r="T603" i="1"/>
  <c r="T606" i="1"/>
  <c r="T602" i="1"/>
  <c r="T484" i="1"/>
  <c r="X605" i="1"/>
  <c r="X601" i="1"/>
  <c r="X604" i="1"/>
  <c r="X603" i="1"/>
  <c r="X606" i="1"/>
  <c r="X602" i="1"/>
  <c r="X484" i="1"/>
  <c r="AB605" i="1"/>
  <c r="AB601" i="1"/>
  <c r="AB604" i="1"/>
  <c r="AB603" i="1"/>
  <c r="AB606" i="1"/>
  <c r="AB602" i="1"/>
  <c r="AB484" i="1"/>
  <c r="AF605" i="1"/>
  <c r="AF601" i="1"/>
  <c r="AF604" i="1"/>
  <c r="AF603" i="1"/>
  <c r="AF606" i="1"/>
  <c r="AF602" i="1"/>
  <c r="AF484" i="1"/>
  <c r="AJ605" i="1"/>
  <c r="AJ601" i="1"/>
  <c r="AJ604" i="1"/>
  <c r="AJ603" i="1"/>
  <c r="AJ606" i="1"/>
  <c r="AJ602" i="1"/>
  <c r="AJ484" i="1"/>
  <c r="AN605" i="1"/>
  <c r="AN601" i="1"/>
  <c r="AN604" i="1"/>
  <c r="AN603" i="1"/>
  <c r="AN606" i="1"/>
  <c r="AN602" i="1"/>
  <c r="AN484" i="1"/>
  <c r="AR605" i="1"/>
  <c r="AR601" i="1"/>
  <c r="AR604" i="1"/>
  <c r="AR603" i="1"/>
  <c r="AR606" i="1"/>
  <c r="AR602" i="1"/>
  <c r="AR484" i="1"/>
  <c r="AV605" i="1"/>
  <c r="AV601" i="1"/>
  <c r="AV604" i="1"/>
  <c r="AV603" i="1"/>
  <c r="AV606" i="1"/>
  <c r="AV602" i="1"/>
  <c r="AV484" i="1"/>
  <c r="G505" i="1"/>
  <c r="G479" i="1"/>
  <c r="K505" i="1"/>
  <c r="K479" i="1"/>
  <c r="O505" i="1"/>
  <c r="O479" i="1"/>
  <c r="S505" i="1"/>
  <c r="S479" i="1"/>
  <c r="W505" i="1"/>
  <c r="W479" i="1"/>
  <c r="AA505" i="1"/>
  <c r="AA479" i="1"/>
  <c r="AE505" i="1"/>
  <c r="AE479" i="1"/>
  <c r="AI505" i="1"/>
  <c r="AI479" i="1"/>
  <c r="AM505" i="1"/>
  <c r="AM479" i="1"/>
  <c r="AQ505" i="1"/>
  <c r="AQ479" i="1"/>
  <c r="AU505" i="1"/>
  <c r="AU479" i="1"/>
  <c r="F524" i="1"/>
  <c r="J524" i="1"/>
  <c r="N524" i="1"/>
  <c r="R524" i="1"/>
  <c r="V524" i="1"/>
  <c r="Z524" i="1"/>
  <c r="AD524" i="1"/>
  <c r="AH524" i="1"/>
  <c r="AL524" i="1"/>
  <c r="AP524" i="1"/>
  <c r="AT524" i="1"/>
  <c r="AX524" i="1"/>
  <c r="L526" i="1"/>
  <c r="P526" i="1"/>
  <c r="T526" i="1"/>
  <c r="X526" i="1"/>
  <c r="AB526" i="1"/>
  <c r="AF526" i="1"/>
  <c r="AJ526" i="1"/>
  <c r="AN526" i="1"/>
  <c r="AR526" i="1"/>
  <c r="AV526" i="1"/>
  <c r="F528" i="1"/>
  <c r="J528" i="1"/>
  <c r="N528" i="1"/>
  <c r="R528" i="1"/>
  <c r="V528" i="1"/>
  <c r="Z528" i="1"/>
  <c r="AD528" i="1"/>
  <c r="AH528" i="1"/>
  <c r="AL528" i="1"/>
  <c r="AP528" i="1"/>
  <c r="AT528" i="1"/>
  <c r="AX528" i="1"/>
  <c r="F538" i="1"/>
  <c r="J538" i="1"/>
  <c r="N538" i="1"/>
  <c r="R538" i="1"/>
  <c r="V538" i="1"/>
  <c r="Z538" i="1"/>
  <c r="AD538" i="1"/>
  <c r="AH538" i="1"/>
  <c r="AL538" i="1"/>
  <c r="AP538" i="1"/>
  <c r="AT538" i="1"/>
  <c r="AX538" i="1"/>
  <c r="I539" i="1"/>
  <c r="I481" i="1"/>
  <c r="M539" i="1"/>
  <c r="M481" i="1"/>
  <c r="Q539" i="1"/>
  <c r="Q481" i="1"/>
  <c r="U539" i="1"/>
  <c r="U481" i="1"/>
  <c r="Y539" i="1"/>
  <c r="Y481" i="1"/>
  <c r="AC539" i="1"/>
  <c r="AC481" i="1"/>
  <c r="AG539" i="1"/>
  <c r="AG481" i="1"/>
  <c r="AK539" i="1"/>
  <c r="AK481" i="1"/>
  <c r="AO539" i="1"/>
  <c r="AO481" i="1"/>
  <c r="AS539" i="1"/>
  <c r="AS481" i="1"/>
  <c r="AW539" i="1"/>
  <c r="AW481" i="1"/>
  <c r="G541" i="1"/>
  <c r="K541" i="1"/>
  <c r="O541" i="1"/>
  <c r="S541" i="1"/>
  <c r="W541" i="1"/>
  <c r="AA541" i="1"/>
  <c r="AE541" i="1"/>
  <c r="AI541" i="1"/>
  <c r="AM541" i="1"/>
  <c r="AQ541" i="1"/>
  <c r="AU541" i="1"/>
  <c r="I543" i="1"/>
  <c r="M543" i="1"/>
  <c r="Q543" i="1"/>
  <c r="U543" i="1"/>
  <c r="Y543" i="1"/>
  <c r="AC543" i="1"/>
  <c r="AG543" i="1"/>
  <c r="AK543" i="1"/>
  <c r="AO543" i="1"/>
  <c r="AS543" i="1"/>
  <c r="AW543" i="1"/>
  <c r="G571" i="1"/>
  <c r="K571" i="1"/>
  <c r="O571" i="1"/>
  <c r="S571" i="1"/>
  <c r="W571" i="1"/>
  <c r="AA571" i="1"/>
  <c r="AE571" i="1"/>
  <c r="AI571" i="1"/>
  <c r="AM571" i="1"/>
  <c r="AQ571" i="1"/>
  <c r="AU571" i="1"/>
  <c r="F572" i="1"/>
  <c r="J572" i="1"/>
  <c r="J482" i="1"/>
  <c r="N572" i="1"/>
  <c r="N482" i="1"/>
  <c r="R572" i="1"/>
  <c r="R482" i="1"/>
  <c r="V572" i="1"/>
  <c r="V482" i="1"/>
  <c r="Z572" i="1"/>
  <c r="Z482" i="1"/>
  <c r="AD572" i="1"/>
  <c r="AD482" i="1"/>
  <c r="AH572" i="1"/>
  <c r="AH482" i="1"/>
  <c r="AL572" i="1"/>
  <c r="AL482" i="1"/>
  <c r="AP572" i="1"/>
  <c r="AP482" i="1"/>
  <c r="AT572" i="1"/>
  <c r="AT482" i="1"/>
  <c r="AX572" i="1"/>
  <c r="AX482" i="1"/>
  <c r="I573" i="1"/>
  <c r="M573" i="1"/>
  <c r="Q573" i="1"/>
  <c r="U573" i="1"/>
  <c r="Y573" i="1"/>
  <c r="AC573" i="1"/>
  <c r="AG573" i="1"/>
  <c r="AK573" i="1"/>
  <c r="AO573" i="1"/>
  <c r="AS573" i="1"/>
  <c r="AW573" i="1"/>
  <c r="L574" i="1"/>
  <c r="P574" i="1"/>
  <c r="T574" i="1"/>
  <c r="X574" i="1"/>
  <c r="AB574" i="1"/>
  <c r="AF574" i="1"/>
  <c r="AJ574" i="1"/>
  <c r="AN574" i="1"/>
  <c r="AR574" i="1"/>
  <c r="AV574" i="1"/>
  <c r="G575" i="1"/>
  <c r="K575" i="1"/>
  <c r="O575" i="1"/>
  <c r="S575" i="1"/>
  <c r="W575" i="1"/>
  <c r="AA575" i="1"/>
  <c r="AE575" i="1"/>
  <c r="AI575" i="1"/>
  <c r="AM575" i="1"/>
  <c r="AQ575" i="1"/>
  <c r="AU575" i="1"/>
  <c r="F576" i="1"/>
  <c r="J576" i="1"/>
  <c r="N576" i="1"/>
  <c r="R576" i="1"/>
  <c r="V576" i="1"/>
  <c r="Z576" i="1"/>
  <c r="AD576" i="1"/>
  <c r="AH576" i="1"/>
  <c r="AL576" i="1"/>
  <c r="AP576" i="1"/>
  <c r="AT576" i="1"/>
  <c r="AX576" i="1"/>
  <c r="I590" i="1"/>
  <c r="I589" i="1"/>
  <c r="I591" i="1"/>
  <c r="I587" i="1"/>
  <c r="M590" i="1"/>
  <c r="M589" i="1"/>
  <c r="M591" i="1"/>
  <c r="M587" i="1"/>
  <c r="Q590" i="1"/>
  <c r="Q589" i="1"/>
  <c r="Q591" i="1"/>
  <c r="Q587" i="1"/>
  <c r="U590" i="1"/>
  <c r="U589" i="1"/>
  <c r="U591" i="1"/>
  <c r="U587" i="1"/>
  <c r="Y590" i="1"/>
  <c r="Y589" i="1"/>
  <c r="Y591" i="1"/>
  <c r="Y587" i="1"/>
  <c r="AC590" i="1"/>
  <c r="AC589" i="1"/>
  <c r="AC591" i="1"/>
  <c r="AC587" i="1"/>
  <c r="AG590" i="1"/>
  <c r="AG589" i="1"/>
  <c r="AG591" i="1"/>
  <c r="AG587" i="1"/>
  <c r="AK590" i="1"/>
  <c r="AK589" i="1"/>
  <c r="AK591" i="1"/>
  <c r="AK587" i="1"/>
  <c r="AO590" i="1"/>
  <c r="AO589" i="1"/>
  <c r="AO591" i="1"/>
  <c r="AO587" i="1"/>
  <c r="AS590" i="1"/>
  <c r="AS589" i="1"/>
  <c r="AS591" i="1"/>
  <c r="AS587" i="1"/>
  <c r="AW590" i="1"/>
  <c r="AW589" i="1"/>
  <c r="AW591" i="1"/>
  <c r="AW587" i="1"/>
  <c r="M588" i="1"/>
  <c r="M483" i="1"/>
  <c r="U588" i="1"/>
  <c r="U483" i="1"/>
  <c r="AC588" i="1"/>
  <c r="AC483" i="1"/>
  <c r="AK588" i="1"/>
  <c r="AK483" i="1"/>
  <c r="X589" i="1"/>
  <c r="AN589" i="1"/>
  <c r="K590" i="1"/>
  <c r="AA590" i="1"/>
  <c r="AQ590" i="1"/>
  <c r="Q592" i="1"/>
  <c r="AG592" i="1"/>
  <c r="AW592" i="1"/>
  <c r="F525" i="1"/>
  <c r="J525" i="1"/>
  <c r="J480" i="1"/>
  <c r="N525" i="1"/>
  <c r="N480" i="1"/>
  <c r="R525" i="1"/>
  <c r="R480" i="1"/>
  <c r="V525" i="1"/>
  <c r="V480" i="1"/>
  <c r="Z525" i="1"/>
  <c r="Z480" i="1"/>
  <c r="AD525" i="1"/>
  <c r="AD480" i="1"/>
  <c r="AH525" i="1"/>
  <c r="AH480" i="1"/>
  <c r="AL525" i="1"/>
  <c r="AL480" i="1"/>
  <c r="AP525" i="1"/>
  <c r="AP480" i="1"/>
  <c r="AT525" i="1"/>
  <c r="AT480" i="1"/>
  <c r="AX525" i="1"/>
  <c r="AX480" i="1"/>
  <c r="G538" i="1"/>
  <c r="K538" i="1"/>
  <c r="O538" i="1"/>
  <c r="S538" i="1"/>
  <c r="W538" i="1"/>
  <c r="AA538" i="1"/>
  <c r="AE538" i="1"/>
  <c r="AI538" i="1"/>
  <c r="AM538" i="1"/>
  <c r="AQ538" i="1"/>
  <c r="AU538" i="1"/>
  <c r="F539" i="1"/>
  <c r="J539" i="1"/>
  <c r="J481" i="1"/>
  <c r="N539" i="1"/>
  <c r="N481" i="1"/>
  <c r="R539" i="1"/>
  <c r="R481" i="1"/>
  <c r="V539" i="1"/>
  <c r="V481" i="1"/>
  <c r="Z539" i="1"/>
  <c r="Z481" i="1"/>
  <c r="AD539" i="1"/>
  <c r="AD481" i="1"/>
  <c r="AH539" i="1"/>
  <c r="AH481" i="1"/>
  <c r="AL539" i="1"/>
  <c r="AL481" i="1"/>
  <c r="AP539" i="1"/>
  <c r="AP481" i="1"/>
  <c r="AT539" i="1"/>
  <c r="AT481" i="1"/>
  <c r="AX539" i="1"/>
  <c r="AX481" i="1"/>
  <c r="L571" i="1"/>
  <c r="P571" i="1"/>
  <c r="T571" i="1"/>
  <c r="X571" i="1"/>
  <c r="AB571" i="1"/>
  <c r="AF571" i="1"/>
  <c r="AJ571" i="1"/>
  <c r="AN571" i="1"/>
  <c r="AR571" i="1"/>
  <c r="AV571" i="1"/>
  <c r="G572" i="1"/>
  <c r="G482" i="1"/>
  <c r="K572" i="1"/>
  <c r="K482" i="1"/>
  <c r="O572" i="1"/>
  <c r="O482" i="1"/>
  <c r="S572" i="1"/>
  <c r="S482" i="1"/>
  <c r="W572" i="1"/>
  <c r="W482" i="1"/>
  <c r="AA572" i="1"/>
  <c r="AA482" i="1"/>
  <c r="AE572" i="1"/>
  <c r="AE482" i="1"/>
  <c r="AI572" i="1"/>
  <c r="AI482" i="1"/>
  <c r="AM572" i="1"/>
  <c r="AM482" i="1"/>
  <c r="AQ572" i="1"/>
  <c r="AQ482" i="1"/>
  <c r="AU572" i="1"/>
  <c r="AU482" i="1"/>
  <c r="F589" i="1"/>
  <c r="F592" i="1"/>
  <c r="F588" i="1"/>
  <c r="F590" i="1"/>
  <c r="J589" i="1"/>
  <c r="J592" i="1"/>
  <c r="J588" i="1"/>
  <c r="J483" i="1"/>
  <c r="J590" i="1"/>
  <c r="N589" i="1"/>
  <c r="N592" i="1"/>
  <c r="N588" i="1"/>
  <c r="N483" i="1"/>
  <c r="N590" i="1"/>
  <c r="R589" i="1"/>
  <c r="R592" i="1"/>
  <c r="R588" i="1"/>
  <c r="R483" i="1"/>
  <c r="R590" i="1"/>
  <c r="V589" i="1"/>
  <c r="V592" i="1"/>
  <c r="V588" i="1"/>
  <c r="V483" i="1"/>
  <c r="V590" i="1"/>
  <c r="Z589" i="1"/>
  <c r="Z592" i="1"/>
  <c r="Z588" i="1"/>
  <c r="Z483" i="1"/>
  <c r="Z590" i="1"/>
  <c r="AD589" i="1"/>
  <c r="AD592" i="1"/>
  <c r="AD588" i="1"/>
  <c r="AD483" i="1"/>
  <c r="AD590" i="1"/>
  <c r="AH589" i="1"/>
  <c r="AH592" i="1"/>
  <c r="AH588" i="1"/>
  <c r="AH483" i="1"/>
  <c r="AH590" i="1"/>
  <c r="AL589" i="1"/>
  <c r="AL592" i="1"/>
  <c r="AL588" i="1"/>
  <c r="AL483" i="1"/>
  <c r="AL590" i="1"/>
  <c r="AP589" i="1"/>
  <c r="AP592" i="1"/>
  <c r="AP588" i="1"/>
  <c r="AP483" i="1"/>
  <c r="AP590" i="1"/>
  <c r="AT589" i="1"/>
  <c r="AT592" i="1"/>
  <c r="AT588" i="1"/>
  <c r="AT483" i="1"/>
  <c r="AT590" i="1"/>
  <c r="AX589" i="1"/>
  <c r="AX592" i="1"/>
  <c r="AX588" i="1"/>
  <c r="AX483" i="1"/>
  <c r="AX590" i="1"/>
  <c r="L587" i="1"/>
  <c r="T587" i="1"/>
  <c r="AB587" i="1"/>
  <c r="AJ587" i="1"/>
  <c r="AR587" i="1"/>
  <c r="G588" i="1"/>
  <c r="G483" i="1"/>
  <c r="O588" i="1"/>
  <c r="O483" i="1"/>
  <c r="W588" i="1"/>
  <c r="W483" i="1"/>
  <c r="AE588" i="1"/>
  <c r="AE483" i="1"/>
  <c r="AO588" i="1"/>
  <c r="AO483" i="1"/>
  <c r="L589" i="1"/>
  <c r="AB589" i="1"/>
  <c r="AR589" i="1"/>
  <c r="O590" i="1"/>
  <c r="AE590" i="1"/>
  <c r="AU590" i="1"/>
  <c r="R591" i="1"/>
  <c r="AH591" i="1"/>
  <c r="AX591" i="1"/>
  <c r="U592" i="1"/>
  <c r="AK592" i="1"/>
  <c r="I601" i="1"/>
  <c r="M601" i="1"/>
  <c r="Q601" i="1"/>
  <c r="U601" i="1"/>
  <c r="Y601" i="1"/>
  <c r="AC601" i="1"/>
  <c r="AG601" i="1"/>
  <c r="AK601" i="1"/>
  <c r="AO601" i="1"/>
  <c r="AS601" i="1"/>
  <c r="AW601" i="1"/>
  <c r="G603" i="1"/>
  <c r="K603" i="1"/>
  <c r="O603" i="1"/>
  <c r="S603" i="1"/>
  <c r="W603" i="1"/>
  <c r="AA603" i="1"/>
  <c r="AE603" i="1"/>
  <c r="AI603" i="1"/>
  <c r="AM603" i="1"/>
  <c r="AQ603" i="1"/>
  <c r="AU603" i="1"/>
  <c r="F604" i="1"/>
  <c r="J604" i="1"/>
  <c r="N604" i="1"/>
  <c r="R604" i="1"/>
  <c r="V604" i="1"/>
  <c r="Z604" i="1"/>
  <c r="AD604" i="1"/>
  <c r="AH604" i="1"/>
  <c r="AL604" i="1"/>
  <c r="AP604" i="1"/>
  <c r="AT604" i="1"/>
  <c r="AX604" i="1"/>
  <c r="I605" i="1"/>
  <c r="M605" i="1"/>
  <c r="Q605" i="1"/>
  <c r="U605" i="1"/>
  <c r="Y605" i="1"/>
  <c r="AC605" i="1"/>
  <c r="AG605" i="1"/>
  <c r="AK605" i="1"/>
  <c r="AO605" i="1"/>
  <c r="AS605" i="1"/>
  <c r="AW605" i="1"/>
  <c r="G624" i="1"/>
  <c r="G620" i="1"/>
  <c r="G485" i="1"/>
  <c r="G623" i="1"/>
  <c r="K624" i="1"/>
  <c r="K620" i="1"/>
  <c r="K485" i="1"/>
  <c r="K623" i="1"/>
  <c r="O624" i="1"/>
  <c r="O620" i="1"/>
  <c r="O485" i="1"/>
  <c r="O623" i="1"/>
  <c r="S624" i="1"/>
  <c r="S620" i="1"/>
  <c r="S485" i="1"/>
  <c r="S623" i="1"/>
  <c r="W624" i="1"/>
  <c r="W620" i="1"/>
  <c r="W485" i="1"/>
  <c r="W623" i="1"/>
  <c r="AA624" i="1"/>
  <c r="AA620" i="1"/>
  <c r="AA485" i="1"/>
  <c r="AA623" i="1"/>
  <c r="AE624" i="1"/>
  <c r="AE620" i="1"/>
  <c r="AE485" i="1"/>
  <c r="AE623" i="1"/>
  <c r="AI624" i="1"/>
  <c r="AI620" i="1"/>
  <c r="AI485" i="1"/>
  <c r="AI623" i="1"/>
  <c r="AM624" i="1"/>
  <c r="AM620" i="1"/>
  <c r="AM485" i="1"/>
  <c r="AM623" i="1"/>
  <c r="AQ624" i="1"/>
  <c r="AQ620" i="1"/>
  <c r="AQ485" i="1"/>
  <c r="AQ623" i="1"/>
  <c r="AU624" i="1"/>
  <c r="AU620" i="1"/>
  <c r="AU485" i="1"/>
  <c r="AU623" i="1"/>
  <c r="J619" i="1"/>
  <c r="O619" i="1"/>
  <c r="U619" i="1"/>
  <c r="Z619" i="1"/>
  <c r="AE619" i="1"/>
  <c r="AK619" i="1"/>
  <c r="AP619" i="1"/>
  <c r="AU619" i="1"/>
  <c r="M620" i="1"/>
  <c r="M485" i="1"/>
  <c r="R620" i="1"/>
  <c r="R485" i="1"/>
  <c r="X620" i="1"/>
  <c r="X485" i="1"/>
  <c r="AC620" i="1"/>
  <c r="AC485" i="1"/>
  <c r="AH620" i="1"/>
  <c r="AH485" i="1"/>
  <c r="AN620" i="1"/>
  <c r="AN485" i="1"/>
  <c r="AS620" i="1"/>
  <c r="AS485" i="1"/>
  <c r="AX620" i="1"/>
  <c r="AX485" i="1"/>
  <c r="K621" i="1"/>
  <c r="P621" i="1"/>
  <c r="U621" i="1"/>
  <c r="AA621" i="1"/>
  <c r="AF621" i="1"/>
  <c r="AK621" i="1"/>
  <c r="AQ621" i="1"/>
  <c r="AV621" i="1"/>
  <c r="N622" i="1"/>
  <c r="S622" i="1"/>
  <c r="X622" i="1"/>
  <c r="AD622" i="1"/>
  <c r="AI622" i="1"/>
  <c r="AP622" i="1"/>
  <c r="AX622" i="1"/>
  <c r="L639" i="1"/>
  <c r="L635" i="1"/>
  <c r="L486" i="1"/>
  <c r="L638" i="1"/>
  <c r="L634" i="1"/>
  <c r="L637" i="1"/>
  <c r="L636" i="1"/>
  <c r="P639" i="1"/>
  <c r="P635" i="1"/>
  <c r="P486" i="1"/>
  <c r="P638" i="1"/>
  <c r="P634" i="1"/>
  <c r="P637" i="1"/>
  <c r="P636" i="1"/>
  <c r="T639" i="1"/>
  <c r="T635" i="1"/>
  <c r="T486" i="1"/>
  <c r="T638" i="1"/>
  <c r="T634" i="1"/>
  <c r="T637" i="1"/>
  <c r="T636" i="1"/>
  <c r="X639" i="1"/>
  <c r="X635" i="1"/>
  <c r="X486" i="1"/>
  <c r="X638" i="1"/>
  <c r="X634" i="1"/>
  <c r="X637" i="1"/>
  <c r="X636" i="1"/>
  <c r="AB639" i="1"/>
  <c r="AB635" i="1"/>
  <c r="AB486" i="1"/>
  <c r="AB638" i="1"/>
  <c r="AB634" i="1"/>
  <c r="AB637" i="1"/>
  <c r="AB636" i="1"/>
  <c r="AF639" i="1"/>
  <c r="AF635" i="1"/>
  <c r="AF486" i="1"/>
  <c r="AF638" i="1"/>
  <c r="AF634" i="1"/>
  <c r="AF637" i="1"/>
  <c r="AF636" i="1"/>
  <c r="AJ639" i="1"/>
  <c r="AJ635" i="1"/>
  <c r="AJ486" i="1"/>
  <c r="AJ638" i="1"/>
  <c r="AJ634" i="1"/>
  <c r="AJ637" i="1"/>
  <c r="AJ636" i="1"/>
  <c r="AN639" i="1"/>
  <c r="AN635" i="1"/>
  <c r="AN486" i="1"/>
  <c r="AN638" i="1"/>
  <c r="AN634" i="1"/>
  <c r="AN637" i="1"/>
  <c r="AN636" i="1"/>
  <c r="AR639" i="1"/>
  <c r="AR635" i="1"/>
  <c r="AR486" i="1"/>
  <c r="AR638" i="1"/>
  <c r="AR634" i="1"/>
  <c r="AR637" i="1"/>
  <c r="AR636" i="1"/>
  <c r="AV639" i="1"/>
  <c r="AV635" i="1"/>
  <c r="AV486" i="1"/>
  <c r="AV638" i="1"/>
  <c r="AV634" i="1"/>
  <c r="AV637" i="1"/>
  <c r="AV636" i="1"/>
  <c r="F601" i="1"/>
  <c r="J601" i="1"/>
  <c r="N601" i="1"/>
  <c r="R601" i="1"/>
  <c r="V601" i="1"/>
  <c r="Z601" i="1"/>
  <c r="AD601" i="1"/>
  <c r="AH601" i="1"/>
  <c r="AL601" i="1"/>
  <c r="AP601" i="1"/>
  <c r="AT601" i="1"/>
  <c r="AX601" i="1"/>
  <c r="I602" i="1"/>
  <c r="I484" i="1"/>
  <c r="M602" i="1"/>
  <c r="M484" i="1"/>
  <c r="Q602" i="1"/>
  <c r="Q484" i="1"/>
  <c r="U602" i="1"/>
  <c r="U484" i="1"/>
  <c r="Y602" i="1"/>
  <c r="Y484" i="1"/>
  <c r="AC602" i="1"/>
  <c r="AC484" i="1"/>
  <c r="AG602" i="1"/>
  <c r="AG484" i="1"/>
  <c r="AK602" i="1"/>
  <c r="AK484" i="1"/>
  <c r="AO602" i="1"/>
  <c r="AO484" i="1"/>
  <c r="AS602" i="1"/>
  <c r="AS484" i="1"/>
  <c r="AW602" i="1"/>
  <c r="AW484" i="1"/>
  <c r="F605" i="1"/>
  <c r="J605" i="1"/>
  <c r="N605" i="1"/>
  <c r="R605" i="1"/>
  <c r="V605" i="1"/>
  <c r="Z605" i="1"/>
  <c r="AD605" i="1"/>
  <c r="AH605" i="1"/>
  <c r="AL605" i="1"/>
  <c r="AP605" i="1"/>
  <c r="AT605" i="1"/>
  <c r="AX605" i="1"/>
  <c r="L623" i="1"/>
  <c r="L619" i="1"/>
  <c r="P623" i="1"/>
  <c r="P619" i="1"/>
  <c r="T623" i="1"/>
  <c r="T619" i="1"/>
  <c r="X623" i="1"/>
  <c r="X619" i="1"/>
  <c r="AB623" i="1"/>
  <c r="AB619" i="1"/>
  <c r="AF623" i="1"/>
  <c r="AF619" i="1"/>
  <c r="AJ623" i="1"/>
  <c r="AJ619" i="1"/>
  <c r="AN623" i="1"/>
  <c r="AN619" i="1"/>
  <c r="AN622" i="1"/>
  <c r="AR623" i="1"/>
  <c r="AR619" i="1"/>
  <c r="AR622" i="1"/>
  <c r="AV623" i="1"/>
  <c r="AV619" i="1"/>
  <c r="AV622" i="1"/>
  <c r="F619" i="1"/>
  <c r="K619" i="1"/>
  <c r="Q619" i="1"/>
  <c r="V619" i="1"/>
  <c r="AA619" i="1"/>
  <c r="AG619" i="1"/>
  <c r="AL619" i="1"/>
  <c r="AQ619" i="1"/>
  <c r="AW619" i="1"/>
  <c r="I620" i="1"/>
  <c r="I485" i="1"/>
  <c r="N620" i="1"/>
  <c r="N485" i="1"/>
  <c r="T620" i="1"/>
  <c r="T485" i="1"/>
  <c r="Y620" i="1"/>
  <c r="Y485" i="1"/>
  <c r="AD620" i="1"/>
  <c r="AD485" i="1"/>
  <c r="AJ620" i="1"/>
  <c r="AJ485" i="1"/>
  <c r="AO620" i="1"/>
  <c r="AO485" i="1"/>
  <c r="AT620" i="1"/>
  <c r="AT485" i="1"/>
  <c r="G621" i="1"/>
  <c r="L621" i="1"/>
  <c r="Q621" i="1"/>
  <c r="W621" i="1"/>
  <c r="AB621" i="1"/>
  <c r="AG621" i="1"/>
  <c r="AM621" i="1"/>
  <c r="AR621" i="1"/>
  <c r="AW621" i="1"/>
  <c r="J622" i="1"/>
  <c r="O622" i="1"/>
  <c r="T622" i="1"/>
  <c r="Z622" i="1"/>
  <c r="AE622" i="1"/>
  <c r="AJ622" i="1"/>
  <c r="AQ622" i="1"/>
  <c r="F623" i="1"/>
  <c r="V623" i="1"/>
  <c r="AL623" i="1"/>
  <c r="AT623" i="1"/>
  <c r="G601" i="1"/>
  <c r="K601" i="1"/>
  <c r="O601" i="1"/>
  <c r="S601" i="1"/>
  <c r="W601" i="1"/>
  <c r="AA601" i="1"/>
  <c r="AE601" i="1"/>
  <c r="AI601" i="1"/>
  <c r="AM601" i="1"/>
  <c r="AQ601" i="1"/>
  <c r="AU601" i="1"/>
  <c r="F602" i="1"/>
  <c r="J602" i="1"/>
  <c r="J484" i="1"/>
  <c r="N602" i="1"/>
  <c r="N484" i="1"/>
  <c r="R602" i="1"/>
  <c r="R484" i="1"/>
  <c r="V602" i="1"/>
  <c r="V484" i="1"/>
  <c r="Z602" i="1"/>
  <c r="Z484" i="1"/>
  <c r="AD602" i="1"/>
  <c r="AD484" i="1"/>
  <c r="AH602" i="1"/>
  <c r="AH484" i="1"/>
  <c r="AL602" i="1"/>
  <c r="AL484" i="1"/>
  <c r="AP602" i="1"/>
  <c r="AP484" i="1"/>
  <c r="AT602" i="1"/>
  <c r="AT484" i="1"/>
  <c r="AX602" i="1"/>
  <c r="AX484" i="1"/>
  <c r="I603" i="1"/>
  <c r="M603" i="1"/>
  <c r="Q603" i="1"/>
  <c r="U603" i="1"/>
  <c r="Y603" i="1"/>
  <c r="AC603" i="1"/>
  <c r="AG603" i="1"/>
  <c r="AK603" i="1"/>
  <c r="AO603" i="1"/>
  <c r="AS603" i="1"/>
  <c r="AW603" i="1"/>
  <c r="G605" i="1"/>
  <c r="K605" i="1"/>
  <c r="O605" i="1"/>
  <c r="S605" i="1"/>
  <c r="W605" i="1"/>
  <c r="AA605" i="1"/>
  <c r="AE605" i="1"/>
  <c r="AI605" i="1"/>
  <c r="AM605" i="1"/>
  <c r="AQ605" i="1"/>
  <c r="AU605" i="1"/>
  <c r="F606" i="1"/>
  <c r="J606" i="1"/>
  <c r="N606" i="1"/>
  <c r="R606" i="1"/>
  <c r="V606" i="1"/>
  <c r="Z606" i="1"/>
  <c r="AD606" i="1"/>
  <c r="AH606" i="1"/>
  <c r="AL606" i="1"/>
  <c r="AP606" i="1"/>
  <c r="AT606" i="1"/>
  <c r="AX606" i="1"/>
  <c r="I622" i="1"/>
  <c r="M622" i="1"/>
  <c r="Q622" i="1"/>
  <c r="U622" i="1"/>
  <c r="Y622" i="1"/>
  <c r="AC622" i="1"/>
  <c r="AG622" i="1"/>
  <c r="AK622" i="1"/>
  <c r="AO622" i="1"/>
  <c r="AS622" i="1"/>
  <c r="AW622" i="1"/>
  <c r="G619" i="1"/>
  <c r="M619" i="1"/>
  <c r="W619" i="1"/>
  <c r="AC619" i="1"/>
  <c r="AM619" i="1"/>
  <c r="AS619" i="1"/>
  <c r="P620" i="1"/>
  <c r="P485" i="1"/>
  <c r="U620" i="1"/>
  <c r="U485" i="1"/>
  <c r="AF620" i="1"/>
  <c r="AF485" i="1"/>
  <c r="AK620" i="1"/>
  <c r="AK485" i="1"/>
  <c r="AV620" i="1"/>
  <c r="AV485" i="1"/>
  <c r="M621" i="1"/>
  <c r="S621" i="1"/>
  <c r="X621" i="1"/>
  <c r="AC621" i="1"/>
  <c r="AI621" i="1"/>
  <c r="AN621" i="1"/>
  <c r="AS621" i="1"/>
  <c r="K622" i="1"/>
  <c r="P622" i="1"/>
  <c r="AA622" i="1"/>
  <c r="AF622" i="1"/>
  <c r="I623" i="1"/>
  <c r="Q623" i="1"/>
  <c r="Y623" i="1"/>
  <c r="AG623" i="1"/>
  <c r="AO623" i="1"/>
  <c r="AW623" i="1"/>
  <c r="L624" i="1"/>
  <c r="T624" i="1"/>
  <c r="AB624" i="1"/>
  <c r="AJ624" i="1"/>
  <c r="AR624" i="1"/>
  <c r="F639" i="1"/>
  <c r="J637" i="1"/>
  <c r="J636" i="1"/>
  <c r="N637" i="1"/>
  <c r="N636" i="1"/>
  <c r="R637" i="1"/>
  <c r="R636" i="1"/>
  <c r="V637" i="1"/>
  <c r="V636" i="1"/>
  <c r="Z637" i="1"/>
  <c r="Z636" i="1"/>
  <c r="AD637" i="1"/>
  <c r="AD636" i="1"/>
  <c r="AH637" i="1"/>
  <c r="AH636" i="1"/>
  <c r="AL637" i="1"/>
  <c r="AL636" i="1"/>
  <c r="AP637" i="1"/>
  <c r="AP636" i="1"/>
  <c r="AT637" i="1"/>
  <c r="AT636" i="1"/>
  <c r="AX637" i="1"/>
  <c r="AX636" i="1"/>
  <c r="G602" i="1"/>
  <c r="G484" i="1"/>
  <c r="K602" i="1"/>
  <c r="K484" i="1"/>
  <c r="O602" i="1"/>
  <c r="O484" i="1"/>
  <c r="S602" i="1"/>
  <c r="S484" i="1"/>
  <c r="W602" i="1"/>
  <c r="W484" i="1"/>
  <c r="AA602" i="1"/>
  <c r="AA484" i="1"/>
  <c r="AE602" i="1"/>
  <c r="AE484" i="1"/>
  <c r="AI602" i="1"/>
  <c r="AI484" i="1"/>
  <c r="AM602" i="1"/>
  <c r="AM484" i="1"/>
  <c r="AQ602" i="1"/>
  <c r="AQ484" i="1"/>
  <c r="AU602" i="1"/>
  <c r="AU484" i="1"/>
  <c r="F621" i="1"/>
  <c r="F624" i="1"/>
  <c r="J621" i="1"/>
  <c r="J624" i="1"/>
  <c r="N621" i="1"/>
  <c r="N624" i="1"/>
  <c r="R621" i="1"/>
  <c r="R624" i="1"/>
  <c r="V621" i="1"/>
  <c r="V624" i="1"/>
  <c r="Z621" i="1"/>
  <c r="Z624" i="1"/>
  <c r="AD621" i="1"/>
  <c r="AD624" i="1"/>
  <c r="AH621" i="1"/>
  <c r="AH624" i="1"/>
  <c r="AL621" i="1"/>
  <c r="AL624" i="1"/>
  <c r="AP621" i="1"/>
  <c r="AP624" i="1"/>
  <c r="AT621" i="1"/>
  <c r="AT624" i="1"/>
  <c r="AX621" i="1"/>
  <c r="AX624" i="1"/>
  <c r="I619" i="1"/>
  <c r="N619" i="1"/>
  <c r="S619" i="1"/>
  <c r="Y619" i="1"/>
  <c r="AD619" i="1"/>
  <c r="AI619" i="1"/>
  <c r="AO619" i="1"/>
  <c r="AT619" i="1"/>
  <c r="F620" i="1"/>
  <c r="L620" i="1"/>
  <c r="L485" i="1"/>
  <c r="Q620" i="1"/>
  <c r="Q485" i="1"/>
  <c r="V620" i="1"/>
  <c r="V485" i="1"/>
  <c r="AB620" i="1"/>
  <c r="AB485" i="1"/>
  <c r="AG620" i="1"/>
  <c r="AG485" i="1"/>
  <c r="AL620" i="1"/>
  <c r="AL485" i="1"/>
  <c r="AR620" i="1"/>
  <c r="AR485" i="1"/>
  <c r="AW620" i="1"/>
  <c r="AW485" i="1"/>
  <c r="I621" i="1"/>
  <c r="O621" i="1"/>
  <c r="T621" i="1"/>
  <c r="Y621" i="1"/>
  <c r="AE621" i="1"/>
  <c r="AJ621" i="1"/>
  <c r="AO621" i="1"/>
  <c r="AU621" i="1"/>
  <c r="G622" i="1"/>
  <c r="L622" i="1"/>
  <c r="R622" i="1"/>
  <c r="W622" i="1"/>
  <c r="AB622" i="1"/>
  <c r="AH622" i="1"/>
  <c r="AM622" i="1"/>
  <c r="AU622" i="1"/>
  <c r="J623" i="1"/>
  <c r="R623" i="1"/>
  <c r="Z623" i="1"/>
  <c r="AH623" i="1"/>
  <c r="AP623" i="1"/>
  <c r="AX623" i="1"/>
  <c r="M624" i="1"/>
  <c r="U624" i="1"/>
  <c r="AC624" i="1"/>
  <c r="AK624" i="1"/>
  <c r="AS624" i="1"/>
  <c r="G636" i="1"/>
  <c r="G639" i="1"/>
  <c r="G635" i="1"/>
  <c r="G486" i="1"/>
  <c r="G638" i="1"/>
  <c r="G634" i="1"/>
  <c r="G637" i="1"/>
  <c r="K636" i="1"/>
  <c r="K639" i="1"/>
  <c r="K635" i="1"/>
  <c r="K486" i="1"/>
  <c r="K638" i="1"/>
  <c r="K634" i="1"/>
  <c r="K637" i="1"/>
  <c r="O636" i="1"/>
  <c r="O639" i="1"/>
  <c r="O635" i="1"/>
  <c r="O486" i="1"/>
  <c r="O638" i="1"/>
  <c r="O634" i="1"/>
  <c r="O637" i="1"/>
  <c r="S636" i="1"/>
  <c r="S639" i="1"/>
  <c r="S635" i="1"/>
  <c r="S486" i="1"/>
  <c r="S638" i="1"/>
  <c r="S634" i="1"/>
  <c r="S637" i="1"/>
  <c r="W636" i="1"/>
  <c r="W639" i="1"/>
  <c r="W635" i="1"/>
  <c r="W486" i="1"/>
  <c r="W638" i="1"/>
  <c r="W634" i="1"/>
  <c r="W637" i="1"/>
  <c r="AA636" i="1"/>
  <c r="AA639" i="1"/>
  <c r="AA635" i="1"/>
  <c r="AA486" i="1"/>
  <c r="AA638" i="1"/>
  <c r="AA634" i="1"/>
  <c r="AA637" i="1"/>
  <c r="AE636" i="1"/>
  <c r="AE639" i="1"/>
  <c r="AE635" i="1"/>
  <c r="AE486" i="1"/>
  <c r="AE638" i="1"/>
  <c r="AE634" i="1"/>
  <c r="AE637" i="1"/>
  <c r="AI636" i="1"/>
  <c r="AI639" i="1"/>
  <c r="AI635" i="1"/>
  <c r="AI486" i="1"/>
  <c r="AI638" i="1"/>
  <c r="AI634" i="1"/>
  <c r="AI637" i="1"/>
  <c r="AM636" i="1"/>
  <c r="AM639" i="1"/>
  <c r="AM635" i="1"/>
  <c r="AM486" i="1"/>
  <c r="AM638" i="1"/>
  <c r="AM634" i="1"/>
  <c r="AM637" i="1"/>
  <c r="AQ636" i="1"/>
  <c r="AQ639" i="1"/>
  <c r="AQ635" i="1"/>
  <c r="AQ486" i="1"/>
  <c r="AQ638" i="1"/>
  <c r="AQ634" i="1"/>
  <c r="AQ637" i="1"/>
  <c r="AU636" i="1"/>
  <c r="AU639" i="1"/>
  <c r="AU635" i="1"/>
  <c r="AU486" i="1"/>
  <c r="AU638" i="1"/>
  <c r="AU634" i="1"/>
  <c r="AU637" i="1"/>
  <c r="F637" i="1"/>
  <c r="F636" i="1"/>
  <c r="F634" i="1"/>
  <c r="J634" i="1"/>
  <c r="N634" i="1"/>
  <c r="R634" i="1"/>
  <c r="V634" i="1"/>
  <c r="Z634" i="1"/>
  <c r="AD634" i="1"/>
  <c r="AH634" i="1"/>
  <c r="AL634" i="1"/>
  <c r="AP634" i="1"/>
  <c r="AT634" i="1"/>
  <c r="AX634" i="1"/>
  <c r="I635" i="1"/>
  <c r="I486" i="1"/>
  <c r="M635" i="1"/>
  <c r="M486" i="1"/>
  <c r="Q635" i="1"/>
  <c r="Q486" i="1"/>
  <c r="U635" i="1"/>
  <c r="U486" i="1"/>
  <c r="Y635" i="1"/>
  <c r="Y486" i="1"/>
  <c r="AC635" i="1"/>
  <c r="AC486" i="1"/>
  <c r="AG635" i="1"/>
  <c r="AG486" i="1"/>
  <c r="AK635" i="1"/>
  <c r="AK486" i="1"/>
  <c r="AO635" i="1"/>
  <c r="AO486" i="1"/>
  <c r="AS635" i="1"/>
  <c r="AS486" i="1"/>
  <c r="AW635" i="1"/>
  <c r="AW486" i="1"/>
  <c r="F638" i="1"/>
  <c r="J638" i="1"/>
  <c r="N638" i="1"/>
  <c r="R638" i="1"/>
  <c r="V638" i="1"/>
  <c r="Z638" i="1"/>
  <c r="AD638" i="1"/>
  <c r="AH638" i="1"/>
  <c r="AL638" i="1"/>
  <c r="AP638" i="1"/>
  <c r="AT638" i="1"/>
  <c r="AX638" i="1"/>
  <c r="I639" i="1"/>
  <c r="M639" i="1"/>
  <c r="Q639" i="1"/>
  <c r="U639" i="1"/>
  <c r="Y639" i="1"/>
  <c r="AC639" i="1"/>
  <c r="AG639" i="1"/>
  <c r="AK639" i="1"/>
  <c r="AO639" i="1"/>
  <c r="AS639" i="1"/>
  <c r="AW639" i="1"/>
  <c r="L657" i="1"/>
  <c r="P657" i="1"/>
  <c r="T657" i="1"/>
  <c r="T656" i="1"/>
  <c r="X657" i="1"/>
  <c r="AB657" i="1"/>
  <c r="AF657" i="1"/>
  <c r="AJ657" i="1"/>
  <c r="AJ656" i="1"/>
  <c r="AN657" i="1"/>
  <c r="AR657" i="1"/>
  <c r="AV657" i="1"/>
  <c r="F652" i="1"/>
  <c r="J652" i="1"/>
  <c r="N652" i="1"/>
  <c r="R652" i="1"/>
  <c r="V652" i="1"/>
  <c r="Z652" i="1"/>
  <c r="AD652" i="1"/>
  <c r="AH652" i="1"/>
  <c r="AL652" i="1"/>
  <c r="AP652" i="1"/>
  <c r="AT652" i="1"/>
  <c r="AX652" i="1"/>
  <c r="I653" i="1"/>
  <c r="I487" i="1"/>
  <c r="AK653" i="1"/>
  <c r="AK487" i="1"/>
  <c r="L654" i="1"/>
  <c r="P654" i="1"/>
  <c r="T654" i="1"/>
  <c r="X654" i="1"/>
  <c r="AB654" i="1"/>
  <c r="AF654" i="1"/>
  <c r="AJ654" i="1"/>
  <c r="AN654" i="1"/>
  <c r="AR654" i="1"/>
  <c r="AV654" i="1"/>
  <c r="G655" i="1"/>
  <c r="K655" i="1"/>
  <c r="O655" i="1"/>
  <c r="S655" i="1"/>
  <c r="W655" i="1"/>
  <c r="AA655" i="1"/>
  <c r="AE655" i="1"/>
  <c r="AI655" i="1"/>
  <c r="AM655" i="1"/>
  <c r="AQ655" i="1"/>
  <c r="AU655" i="1"/>
  <c r="G656" i="1"/>
  <c r="L656" i="1"/>
  <c r="R656" i="1"/>
  <c r="X656" i="1"/>
  <c r="AF656" i="1"/>
  <c r="AM656" i="1"/>
  <c r="AT656" i="1"/>
  <c r="O657" i="1"/>
  <c r="V657" i="1"/>
  <c r="AD657" i="1"/>
  <c r="AQ657" i="1"/>
  <c r="F673" i="1"/>
  <c r="F674" i="1"/>
  <c r="F671" i="1"/>
  <c r="F676" i="1"/>
  <c r="F675" i="1"/>
  <c r="F672" i="1"/>
  <c r="J676" i="1"/>
  <c r="J673" i="1"/>
  <c r="J672" i="1"/>
  <c r="J488" i="1"/>
  <c r="J675" i="1"/>
  <c r="J674" i="1"/>
  <c r="J671" i="1"/>
  <c r="N673" i="1"/>
  <c r="N676" i="1"/>
  <c r="N672" i="1"/>
  <c r="N488" i="1"/>
  <c r="N674" i="1"/>
  <c r="N675" i="1"/>
  <c r="N671" i="1"/>
  <c r="R675" i="1"/>
  <c r="R673" i="1"/>
  <c r="R671" i="1"/>
  <c r="R672" i="1"/>
  <c r="R488" i="1"/>
  <c r="R676" i="1"/>
  <c r="R674" i="1"/>
  <c r="V673" i="1"/>
  <c r="V674" i="1"/>
  <c r="V676" i="1"/>
  <c r="V671" i="1"/>
  <c r="V675" i="1"/>
  <c r="V672" i="1"/>
  <c r="V488" i="1"/>
  <c r="Z676" i="1"/>
  <c r="Z674" i="1"/>
  <c r="Z673" i="1"/>
  <c r="Z675" i="1"/>
  <c r="Z672" i="1"/>
  <c r="Z488" i="1"/>
  <c r="Z671" i="1"/>
  <c r="AD673" i="1"/>
  <c r="AD676" i="1"/>
  <c r="AD672" i="1"/>
  <c r="AD488" i="1"/>
  <c r="AD675" i="1"/>
  <c r="AD674" i="1"/>
  <c r="AD671" i="1"/>
  <c r="AH675" i="1"/>
  <c r="AH673" i="1"/>
  <c r="AH671" i="1"/>
  <c r="AH674" i="1"/>
  <c r="AH676" i="1"/>
  <c r="AH672" i="1"/>
  <c r="AH488" i="1"/>
  <c r="AL673" i="1"/>
  <c r="AL676" i="1"/>
  <c r="AL675" i="1"/>
  <c r="AL671" i="1"/>
  <c r="AL674" i="1"/>
  <c r="AL672" i="1"/>
  <c r="AL488" i="1"/>
  <c r="AP676" i="1"/>
  <c r="AP674" i="1"/>
  <c r="AP673" i="1"/>
  <c r="AP672" i="1"/>
  <c r="AP488" i="1"/>
  <c r="AP671" i="1"/>
  <c r="AP675" i="1"/>
  <c r="AT673" i="1"/>
  <c r="AT675" i="1"/>
  <c r="AT672" i="1"/>
  <c r="AT488" i="1"/>
  <c r="AT674" i="1"/>
  <c r="AT676" i="1"/>
  <c r="AT671" i="1"/>
  <c r="AX675" i="1"/>
  <c r="AX673" i="1"/>
  <c r="AX674" i="1"/>
  <c r="AX671" i="1"/>
  <c r="AX676" i="1"/>
  <c r="AX672" i="1"/>
  <c r="AX488" i="1"/>
  <c r="F635" i="1"/>
  <c r="J635" i="1"/>
  <c r="J486" i="1"/>
  <c r="N635" i="1"/>
  <c r="N486" i="1"/>
  <c r="R635" i="1"/>
  <c r="R486" i="1"/>
  <c r="V635" i="1"/>
  <c r="V486" i="1"/>
  <c r="Z635" i="1"/>
  <c r="Z486" i="1"/>
  <c r="AD635" i="1"/>
  <c r="AD486" i="1"/>
  <c r="AH635" i="1"/>
  <c r="AH486" i="1"/>
  <c r="AL635" i="1"/>
  <c r="AL486" i="1"/>
  <c r="AP635" i="1"/>
  <c r="AP486" i="1"/>
  <c r="AT635" i="1"/>
  <c r="AT486" i="1"/>
  <c r="AX635" i="1"/>
  <c r="AX486" i="1"/>
  <c r="I636" i="1"/>
  <c r="M636" i="1"/>
  <c r="Q636" i="1"/>
  <c r="U636" i="1"/>
  <c r="Y636" i="1"/>
  <c r="AC636" i="1"/>
  <c r="AG636" i="1"/>
  <c r="AK636" i="1"/>
  <c r="AO636" i="1"/>
  <c r="AS636" i="1"/>
  <c r="AW636" i="1"/>
  <c r="I656" i="1"/>
  <c r="M656" i="1"/>
  <c r="M657" i="1"/>
  <c r="Q656" i="1"/>
  <c r="U656" i="1"/>
  <c r="Y656" i="1"/>
  <c r="AC656" i="1"/>
  <c r="AC657" i="1"/>
  <c r="AG656" i="1"/>
  <c r="AK656" i="1"/>
  <c r="AO656" i="1"/>
  <c r="AS656" i="1"/>
  <c r="AS657" i="1"/>
  <c r="AW656" i="1"/>
  <c r="G652" i="1"/>
  <c r="K652" i="1"/>
  <c r="O652" i="1"/>
  <c r="S652" i="1"/>
  <c r="W652" i="1"/>
  <c r="AA652" i="1"/>
  <c r="AE652" i="1"/>
  <c r="AI652" i="1"/>
  <c r="AM652" i="1"/>
  <c r="AQ652" i="1"/>
  <c r="AU652" i="1"/>
  <c r="F653" i="1"/>
  <c r="J653" i="1"/>
  <c r="J487" i="1"/>
  <c r="N653" i="1"/>
  <c r="N487" i="1"/>
  <c r="V653" i="1"/>
  <c r="V487" i="1"/>
  <c r="AD653" i="1"/>
  <c r="AD487" i="1"/>
  <c r="AH653" i="1"/>
  <c r="AH487" i="1"/>
  <c r="AL653" i="1"/>
  <c r="AL487" i="1"/>
  <c r="AP653" i="1"/>
  <c r="AP487" i="1"/>
  <c r="AT653" i="1"/>
  <c r="AT487" i="1"/>
  <c r="I654" i="1"/>
  <c r="M654" i="1"/>
  <c r="Q654" i="1"/>
  <c r="U654" i="1"/>
  <c r="Y654" i="1"/>
  <c r="AC654" i="1"/>
  <c r="AG654" i="1"/>
  <c r="AK654" i="1"/>
  <c r="AO654" i="1"/>
  <c r="AS654" i="1"/>
  <c r="AW654" i="1"/>
  <c r="L655" i="1"/>
  <c r="P655" i="1"/>
  <c r="T655" i="1"/>
  <c r="X655" i="1"/>
  <c r="AB655" i="1"/>
  <c r="AF655" i="1"/>
  <c r="AJ655" i="1"/>
  <c r="AN655" i="1"/>
  <c r="AR655" i="1"/>
  <c r="AV655" i="1"/>
  <c r="N656" i="1"/>
  <c r="S656" i="1"/>
  <c r="AA656" i="1"/>
  <c r="AN656" i="1"/>
  <c r="AV656" i="1"/>
  <c r="J657" i="1"/>
  <c r="Q657" i="1"/>
  <c r="Y657" i="1"/>
  <c r="AE657" i="1"/>
  <c r="AL657" i="1"/>
  <c r="AT657" i="1"/>
  <c r="K675" i="1"/>
  <c r="K674" i="1"/>
  <c r="K671" i="1"/>
  <c r="K673" i="1"/>
  <c r="O674" i="1"/>
  <c r="O675" i="1"/>
  <c r="O671" i="1"/>
  <c r="O673" i="1"/>
  <c r="S675" i="1"/>
  <c r="S673" i="1"/>
  <c r="S674" i="1"/>
  <c r="S671" i="1"/>
  <c r="W671" i="1"/>
  <c r="W673" i="1"/>
  <c r="W674" i="1"/>
  <c r="AA674" i="1"/>
  <c r="AA671" i="1"/>
  <c r="AA673" i="1"/>
  <c r="AA675" i="1"/>
  <c r="AE675" i="1"/>
  <c r="AE671" i="1"/>
  <c r="AE673" i="1"/>
  <c r="AI674" i="1"/>
  <c r="AI673" i="1"/>
  <c r="AI675" i="1"/>
  <c r="AI671" i="1"/>
  <c r="AM671" i="1"/>
  <c r="AM673" i="1"/>
  <c r="AM674" i="1"/>
  <c r="AQ674" i="1"/>
  <c r="AQ671" i="1"/>
  <c r="AQ675" i="1"/>
  <c r="AQ673" i="1"/>
  <c r="AU675" i="1"/>
  <c r="AU671" i="1"/>
  <c r="AU673" i="1"/>
  <c r="I637" i="1"/>
  <c r="M637" i="1"/>
  <c r="Q637" i="1"/>
  <c r="U637" i="1"/>
  <c r="Y637" i="1"/>
  <c r="AC637" i="1"/>
  <c r="AG637" i="1"/>
  <c r="AK637" i="1"/>
  <c r="AO637" i="1"/>
  <c r="AS637" i="1"/>
  <c r="AW637" i="1"/>
  <c r="R657" i="1"/>
  <c r="Z656" i="1"/>
  <c r="AH657" i="1"/>
  <c r="AX655" i="1"/>
  <c r="AX657" i="1"/>
  <c r="L652" i="1"/>
  <c r="P652" i="1"/>
  <c r="T652" i="1"/>
  <c r="X652" i="1"/>
  <c r="AB652" i="1"/>
  <c r="AF652" i="1"/>
  <c r="AJ652" i="1"/>
  <c r="AN652" i="1"/>
  <c r="AR652" i="1"/>
  <c r="AV652" i="1"/>
  <c r="G653" i="1"/>
  <c r="G487" i="1"/>
  <c r="K653" i="1"/>
  <c r="K487" i="1"/>
  <c r="O653" i="1"/>
  <c r="O487" i="1"/>
  <c r="S653" i="1"/>
  <c r="S487" i="1"/>
  <c r="W653" i="1"/>
  <c r="W487" i="1"/>
  <c r="AA653" i="1"/>
  <c r="AA487" i="1"/>
  <c r="AE653" i="1"/>
  <c r="AE487" i="1"/>
  <c r="AI653" i="1"/>
  <c r="AI487" i="1"/>
  <c r="AM653" i="1"/>
  <c r="AM487" i="1"/>
  <c r="AQ653" i="1"/>
  <c r="AQ487" i="1"/>
  <c r="AU653" i="1"/>
  <c r="AU487" i="1"/>
  <c r="F654" i="1"/>
  <c r="J654" i="1"/>
  <c r="N654" i="1"/>
  <c r="R654" i="1"/>
  <c r="V654" i="1"/>
  <c r="Z654" i="1"/>
  <c r="AD654" i="1"/>
  <c r="AH654" i="1"/>
  <c r="AL654" i="1"/>
  <c r="AP654" i="1"/>
  <c r="AT654" i="1"/>
  <c r="AX654" i="1"/>
  <c r="I655" i="1"/>
  <c r="M655" i="1"/>
  <c r="Q655" i="1"/>
  <c r="U655" i="1"/>
  <c r="Y655" i="1"/>
  <c r="AC655" i="1"/>
  <c r="AG655" i="1"/>
  <c r="AK655" i="1"/>
  <c r="AO655" i="1"/>
  <c r="AS655" i="1"/>
  <c r="AW655" i="1"/>
  <c r="J656" i="1"/>
  <c r="O656" i="1"/>
  <c r="V656" i="1"/>
  <c r="AB656" i="1"/>
  <c r="AI656" i="1"/>
  <c r="AQ656" i="1"/>
  <c r="AX656" i="1"/>
  <c r="K657" i="1"/>
  <c r="S657" i="1"/>
  <c r="Z657" i="1"/>
  <c r="AG657" i="1"/>
  <c r="AO657" i="1"/>
  <c r="AU657" i="1"/>
  <c r="L675" i="1"/>
  <c r="L671" i="1"/>
  <c r="L673" i="1"/>
  <c r="L676" i="1"/>
  <c r="L674" i="1"/>
  <c r="L672" i="1"/>
  <c r="L488" i="1"/>
  <c r="P675" i="1"/>
  <c r="P676" i="1"/>
  <c r="P671" i="1"/>
  <c r="P674" i="1"/>
  <c r="P672" i="1"/>
  <c r="P488" i="1"/>
  <c r="P673" i="1"/>
  <c r="T675" i="1"/>
  <c r="T671" i="1"/>
  <c r="T674" i="1"/>
  <c r="T672" i="1"/>
  <c r="T488" i="1"/>
  <c r="T676" i="1"/>
  <c r="T673" i="1"/>
  <c r="X675" i="1"/>
  <c r="X671" i="1"/>
  <c r="X676" i="1"/>
  <c r="X673" i="1"/>
  <c r="X674" i="1"/>
  <c r="X672" i="1"/>
  <c r="X488" i="1"/>
  <c r="AB675" i="1"/>
  <c r="AB671" i="1"/>
  <c r="AB674" i="1"/>
  <c r="AB673" i="1"/>
  <c r="AB676" i="1"/>
  <c r="AB672" i="1"/>
  <c r="AB488" i="1"/>
  <c r="AF675" i="1"/>
  <c r="AF676" i="1"/>
  <c r="AF671" i="1"/>
  <c r="AF672" i="1"/>
  <c r="AF488" i="1"/>
  <c r="AF674" i="1"/>
  <c r="AF673" i="1"/>
  <c r="AJ675" i="1"/>
  <c r="AJ674" i="1"/>
  <c r="AJ671" i="1"/>
  <c r="AJ676" i="1"/>
  <c r="AJ672" i="1"/>
  <c r="AJ488" i="1"/>
  <c r="AJ673" i="1"/>
  <c r="AN675" i="1"/>
  <c r="AN671" i="1"/>
  <c r="AN673" i="1"/>
  <c r="AN674" i="1"/>
  <c r="AN672" i="1"/>
  <c r="AN488" i="1"/>
  <c r="AN676" i="1"/>
  <c r="AR675" i="1"/>
  <c r="AR671" i="1"/>
  <c r="AR676" i="1"/>
  <c r="AR673" i="1"/>
  <c r="AR674" i="1"/>
  <c r="AR672" i="1"/>
  <c r="AR488" i="1"/>
  <c r="AV675" i="1"/>
  <c r="AV676" i="1"/>
  <c r="AV671" i="1"/>
  <c r="AV672" i="1"/>
  <c r="AV488" i="1"/>
  <c r="AV674" i="1"/>
  <c r="AV673" i="1"/>
  <c r="G671" i="1"/>
  <c r="G673" i="1"/>
  <c r="G674" i="1"/>
  <c r="I634" i="1"/>
  <c r="M634" i="1"/>
  <c r="Q634" i="1"/>
  <c r="U634" i="1"/>
  <c r="Y634" i="1"/>
  <c r="AC634" i="1"/>
  <c r="AG634" i="1"/>
  <c r="AK634" i="1"/>
  <c r="AO634" i="1"/>
  <c r="AS634" i="1"/>
  <c r="AW634" i="1"/>
  <c r="I652" i="1"/>
  <c r="M652" i="1"/>
  <c r="Q652" i="1"/>
  <c r="U652" i="1"/>
  <c r="Y652" i="1"/>
  <c r="AC652" i="1"/>
  <c r="AG652" i="1"/>
  <c r="AK652" i="1"/>
  <c r="AO652" i="1"/>
  <c r="AS652" i="1"/>
  <c r="AW652" i="1"/>
  <c r="L653" i="1"/>
  <c r="L487" i="1"/>
  <c r="P653" i="1"/>
  <c r="P487" i="1"/>
  <c r="T653" i="1"/>
  <c r="T487" i="1"/>
  <c r="X653" i="1"/>
  <c r="X487" i="1"/>
  <c r="AB653" i="1"/>
  <c r="AB487" i="1"/>
  <c r="AF653" i="1"/>
  <c r="AF487" i="1"/>
  <c r="AJ653" i="1"/>
  <c r="AJ487" i="1"/>
  <c r="AN653" i="1"/>
  <c r="AN487" i="1"/>
  <c r="AR653" i="1"/>
  <c r="AR487" i="1"/>
  <c r="AV653" i="1"/>
  <c r="AV487" i="1"/>
  <c r="G654" i="1"/>
  <c r="K654" i="1"/>
  <c r="W654" i="1"/>
  <c r="AA654" i="1"/>
  <c r="AE654" i="1"/>
  <c r="AI654" i="1"/>
  <c r="AM654" i="1"/>
  <c r="AU654" i="1"/>
  <c r="F655" i="1"/>
  <c r="N655" i="1"/>
  <c r="R655" i="1"/>
  <c r="Z655" i="1"/>
  <c r="AD655" i="1"/>
  <c r="AH655" i="1"/>
  <c r="AL655" i="1"/>
  <c r="AP655" i="1"/>
  <c r="F656" i="1"/>
  <c r="P656" i="1"/>
  <c r="W656" i="1"/>
  <c r="AR656" i="1"/>
  <c r="U657" i="1"/>
  <c r="AP657" i="1"/>
  <c r="AW657" i="1"/>
  <c r="I674" i="1"/>
  <c r="M675" i="1"/>
  <c r="M674" i="1"/>
  <c r="Q674" i="1"/>
  <c r="U676" i="1"/>
  <c r="U674" i="1"/>
  <c r="Y674" i="1"/>
  <c r="AC674" i="1"/>
  <c r="AC675" i="1"/>
  <c r="AG674" i="1"/>
  <c r="AK674" i="1"/>
  <c r="AK676" i="1"/>
  <c r="AO674" i="1"/>
  <c r="AS674" i="1"/>
  <c r="AS675" i="1"/>
  <c r="AW674" i="1"/>
  <c r="I671" i="1"/>
  <c r="Y671" i="1"/>
  <c r="AO671" i="1"/>
  <c r="Q672" i="1"/>
  <c r="Q488" i="1"/>
  <c r="AG672" i="1"/>
  <c r="AG488" i="1"/>
  <c r="AW672" i="1"/>
  <c r="AW488" i="1"/>
  <c r="I673" i="1"/>
  <c r="Y673" i="1"/>
  <c r="AO673" i="1"/>
  <c r="U675" i="1"/>
  <c r="AW675" i="1"/>
  <c r="Y676" i="1"/>
  <c r="AG676" i="1"/>
  <c r="P683" i="1"/>
  <c r="AV683" i="1"/>
  <c r="W684" i="1"/>
  <c r="W489" i="1"/>
  <c r="O688" i="1"/>
  <c r="AI688" i="1"/>
  <c r="U671" i="1"/>
  <c r="AK671" i="1"/>
  <c r="M672" i="1"/>
  <c r="M488" i="1"/>
  <c r="AC672" i="1"/>
  <c r="AC488" i="1"/>
  <c r="AS672" i="1"/>
  <c r="AS488" i="1"/>
  <c r="U673" i="1"/>
  <c r="AK673" i="1"/>
  <c r="I675" i="1"/>
  <c r="AK675" i="1"/>
  <c r="M676" i="1"/>
  <c r="AO676" i="1"/>
  <c r="AW676" i="1"/>
  <c r="L686" i="1"/>
  <c r="L685" i="1"/>
  <c r="L688" i="1"/>
  <c r="P686" i="1"/>
  <c r="P685" i="1"/>
  <c r="P684" i="1"/>
  <c r="P489" i="1"/>
  <c r="T686" i="1"/>
  <c r="T685" i="1"/>
  <c r="T688" i="1"/>
  <c r="X686" i="1"/>
  <c r="X685" i="1"/>
  <c r="X684" i="1"/>
  <c r="X489" i="1"/>
  <c r="AB686" i="1"/>
  <c r="AB685" i="1"/>
  <c r="AB688" i="1"/>
  <c r="AF686" i="1"/>
  <c r="AF685" i="1"/>
  <c r="AF684" i="1"/>
  <c r="AF489" i="1"/>
  <c r="AJ686" i="1"/>
  <c r="AJ685" i="1"/>
  <c r="AJ688" i="1"/>
  <c r="AN686" i="1"/>
  <c r="AN685" i="1"/>
  <c r="AN684" i="1"/>
  <c r="AN489" i="1"/>
  <c r="AR686" i="1"/>
  <c r="AR685" i="1"/>
  <c r="AR688" i="1"/>
  <c r="AV686" i="1"/>
  <c r="AV685" i="1"/>
  <c r="AV684" i="1"/>
  <c r="AV489" i="1"/>
  <c r="AB683" i="1"/>
  <c r="AN683" i="1"/>
  <c r="O684" i="1"/>
  <c r="O489" i="1"/>
  <c r="AA684" i="1"/>
  <c r="AA489" i="1"/>
  <c r="AJ684" i="1"/>
  <c r="AJ489" i="1"/>
  <c r="AU684" i="1"/>
  <c r="AU489" i="1"/>
  <c r="W685" i="1"/>
  <c r="T687" i="1"/>
  <c r="AN687" i="1"/>
  <c r="G688" i="1"/>
  <c r="P688" i="1"/>
  <c r="AA688" i="1"/>
  <c r="AM688" i="1"/>
  <c r="AV688" i="1"/>
  <c r="J698" i="1"/>
  <c r="J694" i="1"/>
  <c r="J697" i="1"/>
  <c r="J695" i="1"/>
  <c r="J490" i="1"/>
  <c r="J699" i="1"/>
  <c r="N698" i="1"/>
  <c r="N694" i="1"/>
  <c r="N699" i="1"/>
  <c r="N697" i="1"/>
  <c r="N695" i="1"/>
  <c r="N490" i="1"/>
  <c r="N696" i="1"/>
  <c r="R698" i="1"/>
  <c r="R694" i="1"/>
  <c r="R696" i="1"/>
  <c r="R695" i="1"/>
  <c r="R490" i="1"/>
  <c r="V698" i="1"/>
  <c r="V694" i="1"/>
  <c r="V699" i="1"/>
  <c r="V696" i="1"/>
  <c r="V697" i="1"/>
  <c r="Z698" i="1"/>
  <c r="Z694" i="1"/>
  <c r="Z697" i="1"/>
  <c r="Z695" i="1"/>
  <c r="Z490" i="1"/>
  <c r="Z696" i="1"/>
  <c r="Z699" i="1"/>
  <c r="AD698" i="1"/>
  <c r="AD694" i="1"/>
  <c r="AD699" i="1"/>
  <c r="AD697" i="1"/>
  <c r="AD695" i="1"/>
  <c r="AD490" i="1"/>
  <c r="AH698" i="1"/>
  <c r="AH694" i="1"/>
  <c r="AH696" i="1"/>
  <c r="AH697" i="1"/>
  <c r="AL698" i="1"/>
  <c r="AL694" i="1"/>
  <c r="AL699" i="1"/>
  <c r="AL696" i="1"/>
  <c r="AL695" i="1"/>
  <c r="AL490" i="1"/>
  <c r="AP698" i="1"/>
  <c r="AP694" i="1"/>
  <c r="AP697" i="1"/>
  <c r="AP695" i="1"/>
  <c r="AP490" i="1"/>
  <c r="AP699" i="1"/>
  <c r="AT698" i="1"/>
  <c r="AT694" i="1"/>
  <c r="AT699" i="1"/>
  <c r="AT697" i="1"/>
  <c r="AT695" i="1"/>
  <c r="AT490" i="1"/>
  <c r="AT696" i="1"/>
  <c r="AX698" i="1"/>
  <c r="AX694" i="1"/>
  <c r="AX696" i="1"/>
  <c r="AX695" i="1"/>
  <c r="AX490" i="1"/>
  <c r="Y694" i="1"/>
  <c r="V695" i="1"/>
  <c r="V490" i="1"/>
  <c r="AL697" i="1"/>
  <c r="R699" i="1"/>
  <c r="AX699" i="1"/>
  <c r="J712" i="1"/>
  <c r="J710" i="1"/>
  <c r="J715" i="1"/>
  <c r="J714" i="1"/>
  <c r="J711" i="1"/>
  <c r="J491" i="1"/>
  <c r="J713" i="1"/>
  <c r="N712" i="1"/>
  <c r="N713" i="1"/>
  <c r="N710" i="1"/>
  <c r="N714" i="1"/>
  <c r="N715" i="1"/>
  <c r="N711" i="1"/>
  <c r="N491" i="1"/>
  <c r="R712" i="1"/>
  <c r="R711" i="1"/>
  <c r="R491" i="1"/>
  <c r="R715" i="1"/>
  <c r="R713" i="1"/>
  <c r="R710" i="1"/>
  <c r="R714" i="1"/>
  <c r="Q671" i="1"/>
  <c r="AG671" i="1"/>
  <c r="AW671" i="1"/>
  <c r="I672" i="1"/>
  <c r="I488" i="1"/>
  <c r="Y672" i="1"/>
  <c r="Y488" i="1"/>
  <c r="AO672" i="1"/>
  <c r="AO488" i="1"/>
  <c r="Q673" i="1"/>
  <c r="AG673" i="1"/>
  <c r="AW673" i="1"/>
  <c r="Q675" i="1"/>
  <c r="Y675" i="1"/>
  <c r="AC676" i="1"/>
  <c r="I685" i="1"/>
  <c r="I688" i="1"/>
  <c r="I684" i="1"/>
  <c r="I489" i="1"/>
  <c r="I687" i="1"/>
  <c r="M685" i="1"/>
  <c r="M688" i="1"/>
  <c r="M684" i="1"/>
  <c r="M489" i="1"/>
  <c r="M683" i="1"/>
  <c r="Q685" i="1"/>
  <c r="Q688" i="1"/>
  <c r="Q684" i="1"/>
  <c r="Q489" i="1"/>
  <c r="Q687" i="1"/>
  <c r="U685" i="1"/>
  <c r="U688" i="1"/>
  <c r="U684" i="1"/>
  <c r="U489" i="1"/>
  <c r="U683" i="1"/>
  <c r="Y685" i="1"/>
  <c r="Y688" i="1"/>
  <c r="Y684" i="1"/>
  <c r="Y489" i="1"/>
  <c r="Y687" i="1"/>
  <c r="AC685" i="1"/>
  <c r="AC688" i="1"/>
  <c r="AC684" i="1"/>
  <c r="AC489" i="1"/>
  <c r="AC683" i="1"/>
  <c r="AG685" i="1"/>
  <c r="AG688" i="1"/>
  <c r="AG684" i="1"/>
  <c r="AG489" i="1"/>
  <c r="AG687" i="1"/>
  <c r="AK685" i="1"/>
  <c r="AK688" i="1"/>
  <c r="AK684" i="1"/>
  <c r="AK489" i="1"/>
  <c r="AK683" i="1"/>
  <c r="AO685" i="1"/>
  <c r="AO688" i="1"/>
  <c r="AO684" i="1"/>
  <c r="AO489" i="1"/>
  <c r="AO687" i="1"/>
  <c r="AS685" i="1"/>
  <c r="AS688" i="1"/>
  <c r="AS684" i="1"/>
  <c r="AS489" i="1"/>
  <c r="AS683" i="1"/>
  <c r="AW685" i="1"/>
  <c r="AW688" i="1"/>
  <c r="AW684" i="1"/>
  <c r="AW489" i="1"/>
  <c r="AW687" i="1"/>
  <c r="I683" i="1"/>
  <c r="T683" i="1"/>
  <c r="AF683" i="1"/>
  <c r="AO683" i="1"/>
  <c r="G684" i="1"/>
  <c r="G489" i="1"/>
  <c r="S684" i="1"/>
  <c r="S489" i="1"/>
  <c r="AB684" i="1"/>
  <c r="AB489" i="1"/>
  <c r="AM684" i="1"/>
  <c r="AM489" i="1"/>
  <c r="F685" i="1"/>
  <c r="M686" i="1"/>
  <c r="Y686" i="1"/>
  <c r="AS686" i="1"/>
  <c r="L687" i="1"/>
  <c r="U687" i="1"/>
  <c r="AF687" i="1"/>
  <c r="AR687" i="1"/>
  <c r="S688" i="1"/>
  <c r="AE688" i="1"/>
  <c r="AN688" i="1"/>
  <c r="F698" i="1"/>
  <c r="F694" i="1"/>
  <c r="F699" i="1"/>
  <c r="F696" i="1"/>
  <c r="F695" i="1"/>
  <c r="K697" i="1"/>
  <c r="K696" i="1"/>
  <c r="K694" i="1"/>
  <c r="K699" i="1"/>
  <c r="K698" i="1"/>
  <c r="O697" i="1"/>
  <c r="O699" i="1"/>
  <c r="O695" i="1"/>
  <c r="O490" i="1"/>
  <c r="O696" i="1"/>
  <c r="S697" i="1"/>
  <c r="S698" i="1"/>
  <c r="S695" i="1"/>
  <c r="S490" i="1"/>
  <c r="S694" i="1"/>
  <c r="W697" i="1"/>
  <c r="W699" i="1"/>
  <c r="W696" i="1"/>
  <c r="W694" i="1"/>
  <c r="W698" i="1"/>
  <c r="AA697" i="1"/>
  <c r="AA696" i="1"/>
  <c r="AA694" i="1"/>
  <c r="AA699" i="1"/>
  <c r="AA695" i="1"/>
  <c r="AA490" i="1"/>
  <c r="AE697" i="1"/>
  <c r="AE699" i="1"/>
  <c r="AE695" i="1"/>
  <c r="AE490" i="1"/>
  <c r="AE694" i="1"/>
  <c r="AE698" i="1"/>
  <c r="AI697" i="1"/>
  <c r="AI698" i="1"/>
  <c r="AI695" i="1"/>
  <c r="AI490" i="1"/>
  <c r="AI696" i="1"/>
  <c r="AM697" i="1"/>
  <c r="AM699" i="1"/>
  <c r="AM696" i="1"/>
  <c r="AM694" i="1"/>
  <c r="AM698" i="1"/>
  <c r="AM695" i="1"/>
  <c r="AM490" i="1"/>
  <c r="AQ697" i="1"/>
  <c r="AQ696" i="1"/>
  <c r="AQ694" i="1"/>
  <c r="AQ699" i="1"/>
  <c r="AQ698" i="1"/>
  <c r="AU697" i="1"/>
  <c r="AU699" i="1"/>
  <c r="AU695" i="1"/>
  <c r="AU490" i="1"/>
  <c r="AU696" i="1"/>
  <c r="AI694" i="1"/>
  <c r="W695" i="1"/>
  <c r="W490" i="1"/>
  <c r="AP696" i="1"/>
  <c r="R697" i="1"/>
  <c r="S699" i="1"/>
  <c r="F712" i="1"/>
  <c r="F714" i="1"/>
  <c r="F711" i="1"/>
  <c r="F713" i="1"/>
  <c r="F710" i="1"/>
  <c r="M671" i="1"/>
  <c r="AC671" i="1"/>
  <c r="AS671" i="1"/>
  <c r="U672" i="1"/>
  <c r="U488" i="1"/>
  <c r="AK672" i="1"/>
  <c r="AK488" i="1"/>
  <c r="M673" i="1"/>
  <c r="AC673" i="1"/>
  <c r="AS673" i="1"/>
  <c r="AG675" i="1"/>
  <c r="AO675" i="1"/>
  <c r="I676" i="1"/>
  <c r="Q676" i="1"/>
  <c r="AS676" i="1"/>
  <c r="F688" i="1"/>
  <c r="L683" i="1"/>
  <c r="X683" i="1"/>
  <c r="AG683" i="1"/>
  <c r="AR683" i="1"/>
  <c r="K684" i="1"/>
  <c r="K489" i="1"/>
  <c r="T684" i="1"/>
  <c r="T489" i="1"/>
  <c r="AQ684" i="1"/>
  <c r="AQ489" i="1"/>
  <c r="Q686" i="1"/>
  <c r="AK686" i="1"/>
  <c r="AW686" i="1"/>
  <c r="M687" i="1"/>
  <c r="X687" i="1"/>
  <c r="AJ687" i="1"/>
  <c r="AS687" i="1"/>
  <c r="K688" i="1"/>
  <c r="AF688" i="1"/>
  <c r="AQ688" i="1"/>
  <c r="O694" i="1"/>
  <c r="K695" i="1"/>
  <c r="K490" i="1"/>
  <c r="AD696" i="1"/>
  <c r="F697" i="1"/>
  <c r="AU698" i="1"/>
  <c r="AH699" i="1"/>
  <c r="G676" i="1"/>
  <c r="K676" i="1"/>
  <c r="O676" i="1"/>
  <c r="S676" i="1"/>
  <c r="W676" i="1"/>
  <c r="AA676" i="1"/>
  <c r="AE676" i="1"/>
  <c r="AI676" i="1"/>
  <c r="AM676" i="1"/>
  <c r="AQ676" i="1"/>
  <c r="AU676" i="1"/>
  <c r="G672" i="1"/>
  <c r="G488" i="1"/>
  <c r="K672" i="1"/>
  <c r="K488" i="1"/>
  <c r="O672" i="1"/>
  <c r="O488" i="1"/>
  <c r="S672" i="1"/>
  <c r="S488" i="1"/>
  <c r="W672" i="1"/>
  <c r="W488" i="1"/>
  <c r="AA672" i="1"/>
  <c r="AA488" i="1"/>
  <c r="AE672" i="1"/>
  <c r="AE488" i="1"/>
  <c r="AI672" i="1"/>
  <c r="AI488" i="1"/>
  <c r="AM672" i="1"/>
  <c r="AM488" i="1"/>
  <c r="AQ672" i="1"/>
  <c r="AQ488" i="1"/>
  <c r="AU672" i="1"/>
  <c r="AU488" i="1"/>
  <c r="AE674" i="1"/>
  <c r="AU674" i="1"/>
  <c r="G675" i="1"/>
  <c r="W675" i="1"/>
  <c r="AM675" i="1"/>
  <c r="G687" i="1"/>
  <c r="K687" i="1"/>
  <c r="O687" i="1"/>
  <c r="S687" i="1"/>
  <c r="W687" i="1"/>
  <c r="AA687" i="1"/>
  <c r="AE687" i="1"/>
  <c r="AI687" i="1"/>
  <c r="AM687" i="1"/>
  <c r="AQ687" i="1"/>
  <c r="AU687" i="1"/>
  <c r="G697" i="1"/>
  <c r="G699" i="1"/>
  <c r="G696" i="1"/>
  <c r="G694" i="1"/>
  <c r="G698" i="1"/>
  <c r="I698" i="1"/>
  <c r="T698" i="1"/>
  <c r="AO698" i="1"/>
  <c r="L712" i="1"/>
  <c r="T713" i="1"/>
  <c r="AJ713" i="1"/>
  <c r="AR712" i="1"/>
  <c r="G714" i="1"/>
  <c r="F683" i="1"/>
  <c r="J683" i="1"/>
  <c r="N683" i="1"/>
  <c r="R683" i="1"/>
  <c r="V683" i="1"/>
  <c r="Z683" i="1"/>
  <c r="AD683" i="1"/>
  <c r="AH683" i="1"/>
  <c r="AL683" i="1"/>
  <c r="AP683" i="1"/>
  <c r="AT683" i="1"/>
  <c r="AX683" i="1"/>
  <c r="G686" i="1"/>
  <c r="K686" i="1"/>
  <c r="O686" i="1"/>
  <c r="S686" i="1"/>
  <c r="W686" i="1"/>
  <c r="AA686" i="1"/>
  <c r="AE686" i="1"/>
  <c r="AI686" i="1"/>
  <c r="AM686" i="1"/>
  <c r="AQ686" i="1"/>
  <c r="AU686" i="1"/>
  <c r="F687" i="1"/>
  <c r="J687" i="1"/>
  <c r="N687" i="1"/>
  <c r="R687" i="1"/>
  <c r="V687" i="1"/>
  <c r="Z687" i="1"/>
  <c r="AD687" i="1"/>
  <c r="AH687" i="1"/>
  <c r="AL687" i="1"/>
  <c r="AP687" i="1"/>
  <c r="AT687" i="1"/>
  <c r="AX687" i="1"/>
  <c r="L696" i="1"/>
  <c r="L699" i="1"/>
  <c r="P696" i="1"/>
  <c r="P699" i="1"/>
  <c r="T696" i="1"/>
  <c r="T699" i="1"/>
  <c r="X696" i="1"/>
  <c r="X699" i="1"/>
  <c r="AB696" i="1"/>
  <c r="AB699" i="1"/>
  <c r="AF696" i="1"/>
  <c r="AF699" i="1"/>
  <c r="AJ696" i="1"/>
  <c r="AJ699" i="1"/>
  <c r="AN696" i="1"/>
  <c r="AN699" i="1"/>
  <c r="AR696" i="1"/>
  <c r="AR699" i="1"/>
  <c r="AV696" i="1"/>
  <c r="AV699" i="1"/>
  <c r="P694" i="1"/>
  <c r="AF694" i="1"/>
  <c r="AV694" i="1"/>
  <c r="X695" i="1"/>
  <c r="X490" i="1"/>
  <c r="AN695" i="1"/>
  <c r="AN490" i="1"/>
  <c r="Q696" i="1"/>
  <c r="AG696" i="1"/>
  <c r="T697" i="1"/>
  <c r="AJ697" i="1"/>
  <c r="L698" i="1"/>
  <c r="AB698" i="1"/>
  <c r="AR698" i="1"/>
  <c r="P713" i="1"/>
  <c r="X712" i="1"/>
  <c r="AF713" i="1"/>
  <c r="AN712" i="1"/>
  <c r="AV713" i="1"/>
  <c r="AJ711" i="1"/>
  <c r="AJ491" i="1"/>
  <c r="V728" i="1"/>
  <c r="V492" i="1"/>
  <c r="V732" i="1"/>
  <c r="AD732" i="1"/>
  <c r="AD728" i="1"/>
  <c r="AD492" i="1"/>
  <c r="AL732" i="1"/>
  <c r="AL728" i="1"/>
  <c r="AL492" i="1"/>
  <c r="N732" i="1"/>
  <c r="G683" i="1"/>
  <c r="K683" i="1"/>
  <c r="O683" i="1"/>
  <c r="S683" i="1"/>
  <c r="W683" i="1"/>
  <c r="AA683" i="1"/>
  <c r="AE683" i="1"/>
  <c r="AI683" i="1"/>
  <c r="AM683" i="1"/>
  <c r="AQ683" i="1"/>
  <c r="AU683" i="1"/>
  <c r="F684" i="1"/>
  <c r="J684" i="1"/>
  <c r="J489" i="1"/>
  <c r="N684" i="1"/>
  <c r="N489" i="1"/>
  <c r="R684" i="1"/>
  <c r="R489" i="1"/>
  <c r="V684" i="1"/>
  <c r="V489" i="1"/>
  <c r="Z684" i="1"/>
  <c r="Z489" i="1"/>
  <c r="AD684" i="1"/>
  <c r="AD489" i="1"/>
  <c r="AH684" i="1"/>
  <c r="AH489" i="1"/>
  <c r="AL684" i="1"/>
  <c r="AL489" i="1"/>
  <c r="AP684" i="1"/>
  <c r="AP489" i="1"/>
  <c r="AT684" i="1"/>
  <c r="AT489" i="1"/>
  <c r="AX684" i="1"/>
  <c r="AX489" i="1"/>
  <c r="I699" i="1"/>
  <c r="I695" i="1"/>
  <c r="I490" i="1"/>
  <c r="M699" i="1"/>
  <c r="M695" i="1"/>
  <c r="M490" i="1"/>
  <c r="Q699" i="1"/>
  <c r="Q695" i="1"/>
  <c r="Q490" i="1"/>
  <c r="U699" i="1"/>
  <c r="U695" i="1"/>
  <c r="U490" i="1"/>
  <c r="Y699" i="1"/>
  <c r="Y695" i="1"/>
  <c r="Y490" i="1"/>
  <c r="AC699" i="1"/>
  <c r="AC695" i="1"/>
  <c r="AC490" i="1"/>
  <c r="AG699" i="1"/>
  <c r="AG695" i="1"/>
  <c r="AG490" i="1"/>
  <c r="AK699" i="1"/>
  <c r="AK695" i="1"/>
  <c r="AK490" i="1"/>
  <c r="AO699" i="1"/>
  <c r="AO695" i="1"/>
  <c r="AO490" i="1"/>
  <c r="AS699" i="1"/>
  <c r="AS695" i="1"/>
  <c r="AS490" i="1"/>
  <c r="AW699" i="1"/>
  <c r="AW695" i="1"/>
  <c r="AW490" i="1"/>
  <c r="AW698" i="1"/>
  <c r="L694" i="1"/>
  <c r="Q694" i="1"/>
  <c r="AB694" i="1"/>
  <c r="AG694" i="1"/>
  <c r="AR694" i="1"/>
  <c r="AW694" i="1"/>
  <c r="T695" i="1"/>
  <c r="T490" i="1"/>
  <c r="AJ695" i="1"/>
  <c r="AJ490" i="1"/>
  <c r="M696" i="1"/>
  <c r="AC696" i="1"/>
  <c r="AS696" i="1"/>
  <c r="P697" i="1"/>
  <c r="U697" i="1"/>
  <c r="AF697" i="1"/>
  <c r="AK697" i="1"/>
  <c r="AV697" i="1"/>
  <c r="M698" i="1"/>
  <c r="X698" i="1"/>
  <c r="AC698" i="1"/>
  <c r="AN698" i="1"/>
  <c r="AS698" i="1"/>
  <c r="I713" i="1"/>
  <c r="I712" i="1"/>
  <c r="I710" i="1"/>
  <c r="I715" i="1"/>
  <c r="I714" i="1"/>
  <c r="M713" i="1"/>
  <c r="M715" i="1"/>
  <c r="M711" i="1"/>
  <c r="M491" i="1"/>
  <c r="M712" i="1"/>
  <c r="M710" i="1"/>
  <c r="Q713" i="1"/>
  <c r="Q714" i="1"/>
  <c r="Q711" i="1"/>
  <c r="Q491" i="1"/>
  <c r="Q715" i="1"/>
  <c r="U713" i="1"/>
  <c r="U715" i="1"/>
  <c r="U712" i="1"/>
  <c r="U710" i="1"/>
  <c r="U714" i="1"/>
  <c r="U711" i="1"/>
  <c r="U491" i="1"/>
  <c r="Y713" i="1"/>
  <c r="Y712" i="1"/>
  <c r="Y710" i="1"/>
  <c r="Y715" i="1"/>
  <c r="Y714" i="1"/>
  <c r="AC713" i="1"/>
  <c r="AC715" i="1"/>
  <c r="AC711" i="1"/>
  <c r="AC491" i="1"/>
  <c r="AC712" i="1"/>
  <c r="AC710" i="1"/>
  <c r="AG714" i="1"/>
  <c r="AG713" i="1"/>
  <c r="AG711" i="1"/>
  <c r="AG491" i="1"/>
  <c r="AG715" i="1"/>
  <c r="AK714" i="1"/>
  <c r="AK713" i="1"/>
  <c r="AK715" i="1"/>
  <c r="AK712" i="1"/>
  <c r="AK710" i="1"/>
  <c r="AK711" i="1"/>
  <c r="AK491" i="1"/>
  <c r="AO714" i="1"/>
  <c r="AO713" i="1"/>
  <c r="AO712" i="1"/>
  <c r="AO710" i="1"/>
  <c r="AO715" i="1"/>
  <c r="AS714" i="1"/>
  <c r="AS713" i="1"/>
  <c r="AS715" i="1"/>
  <c r="AS711" i="1"/>
  <c r="AS491" i="1"/>
  <c r="AS712" i="1"/>
  <c r="AS710" i="1"/>
  <c r="AW714" i="1"/>
  <c r="AW713" i="1"/>
  <c r="AW711" i="1"/>
  <c r="AW491" i="1"/>
  <c r="AW715" i="1"/>
  <c r="V710" i="1"/>
  <c r="AQ710" i="1"/>
  <c r="T711" i="1"/>
  <c r="T491" i="1"/>
  <c r="AO711" i="1"/>
  <c r="AO491" i="1"/>
  <c r="Q712" i="1"/>
  <c r="M714" i="1"/>
  <c r="J743" i="1"/>
  <c r="J739" i="1"/>
  <c r="J493" i="1"/>
  <c r="J742" i="1"/>
  <c r="J738" i="1"/>
  <c r="J741" i="1"/>
  <c r="J740" i="1"/>
  <c r="N743" i="1"/>
  <c r="N739" i="1"/>
  <c r="N493" i="1"/>
  <c r="N742" i="1"/>
  <c r="N738" i="1"/>
  <c r="N741" i="1"/>
  <c r="N740" i="1"/>
  <c r="R743" i="1"/>
  <c r="R739" i="1"/>
  <c r="R493" i="1"/>
  <c r="R742" i="1"/>
  <c r="R738" i="1"/>
  <c r="R741" i="1"/>
  <c r="R740" i="1"/>
  <c r="V743" i="1"/>
  <c r="V739" i="1"/>
  <c r="V493" i="1"/>
  <c r="V742" i="1"/>
  <c r="V738" i="1"/>
  <c r="V741" i="1"/>
  <c r="V740" i="1"/>
  <c r="Z743" i="1"/>
  <c r="Z739" i="1"/>
  <c r="Z493" i="1"/>
  <c r="Z742" i="1"/>
  <c r="Z738" i="1"/>
  <c r="Z741" i="1"/>
  <c r="Z740" i="1"/>
  <c r="AD743" i="1"/>
  <c r="AD739" i="1"/>
  <c r="AD493" i="1"/>
  <c r="AD742" i="1"/>
  <c r="AD738" i="1"/>
  <c r="AD741" i="1"/>
  <c r="AD740" i="1"/>
  <c r="AH743" i="1"/>
  <c r="AH739" i="1"/>
  <c r="AH493" i="1"/>
  <c r="AH742" i="1"/>
  <c r="AH738" i="1"/>
  <c r="AH741" i="1"/>
  <c r="AH740" i="1"/>
  <c r="AL743" i="1"/>
  <c r="AL739" i="1"/>
  <c r="AL493" i="1"/>
  <c r="AL742" i="1"/>
  <c r="AL738" i="1"/>
  <c r="AL741" i="1"/>
  <c r="AL740" i="1"/>
  <c r="AP743" i="1"/>
  <c r="AP739" i="1"/>
  <c r="AP493" i="1"/>
  <c r="AP742" i="1"/>
  <c r="AP738" i="1"/>
  <c r="AP741" i="1"/>
  <c r="AT743" i="1"/>
  <c r="AT739" i="1"/>
  <c r="AT493" i="1"/>
  <c r="AT742" i="1"/>
  <c r="AT738" i="1"/>
  <c r="AT741" i="1"/>
  <c r="AT740" i="1"/>
  <c r="AX743" i="1"/>
  <c r="AX739" i="1"/>
  <c r="AX493" i="1"/>
  <c r="AX742" i="1"/>
  <c r="AX738" i="1"/>
  <c r="AX741" i="1"/>
  <c r="AX740" i="1"/>
  <c r="V712" i="1"/>
  <c r="V714" i="1"/>
  <c r="V711" i="1"/>
  <c r="V491" i="1"/>
  <c r="V713" i="1"/>
  <c r="Z712" i="1"/>
  <c r="Z710" i="1"/>
  <c r="Z715" i="1"/>
  <c r="Z714" i="1"/>
  <c r="Z711" i="1"/>
  <c r="Z491" i="1"/>
  <c r="AD712" i="1"/>
  <c r="AD713" i="1"/>
  <c r="AD710" i="1"/>
  <c r="AD714" i="1"/>
  <c r="AH712" i="1"/>
  <c r="AH714" i="1"/>
  <c r="AH711" i="1"/>
  <c r="AH491" i="1"/>
  <c r="AH715" i="1"/>
  <c r="AH713" i="1"/>
  <c r="AH710" i="1"/>
  <c r="AL712" i="1"/>
  <c r="AL711" i="1"/>
  <c r="AL491" i="1"/>
  <c r="AL714" i="1"/>
  <c r="AL713" i="1"/>
  <c r="AP712" i="1"/>
  <c r="AP714" i="1"/>
  <c r="AP710" i="1"/>
  <c r="AP715" i="1"/>
  <c r="AP711" i="1"/>
  <c r="AP491" i="1"/>
  <c r="AT712" i="1"/>
  <c r="AT713" i="1"/>
  <c r="AT710" i="1"/>
  <c r="AT714" i="1"/>
  <c r="AX712" i="1"/>
  <c r="AX714" i="1"/>
  <c r="AX711" i="1"/>
  <c r="AX491" i="1"/>
  <c r="AX715" i="1"/>
  <c r="AX713" i="1"/>
  <c r="AX710" i="1"/>
  <c r="AW710" i="1"/>
  <c r="Y711" i="1"/>
  <c r="Y491" i="1"/>
  <c r="AT711" i="1"/>
  <c r="AT491" i="1"/>
  <c r="AP713" i="1"/>
  <c r="AD715" i="1"/>
  <c r="G715" i="1"/>
  <c r="G711" i="1"/>
  <c r="G491" i="1"/>
  <c r="K715" i="1"/>
  <c r="K711" i="1"/>
  <c r="K491" i="1"/>
  <c r="O715" i="1"/>
  <c r="O711" i="1"/>
  <c r="O491" i="1"/>
  <c r="S715" i="1"/>
  <c r="S711" i="1"/>
  <c r="S491" i="1"/>
  <c r="W715" i="1"/>
  <c r="W711" i="1"/>
  <c r="W491" i="1"/>
  <c r="AA715" i="1"/>
  <c r="AA711" i="1"/>
  <c r="AA491" i="1"/>
  <c r="AE715" i="1"/>
  <c r="AE711" i="1"/>
  <c r="AE491" i="1"/>
  <c r="AI715" i="1"/>
  <c r="AI711" i="1"/>
  <c r="AI491" i="1"/>
  <c r="AM715" i="1"/>
  <c r="AM711" i="1"/>
  <c r="AM491" i="1"/>
  <c r="AQ715" i="1"/>
  <c r="AQ711" i="1"/>
  <c r="AQ491" i="1"/>
  <c r="AU715" i="1"/>
  <c r="AU711" i="1"/>
  <c r="AU491" i="1"/>
  <c r="G710" i="1"/>
  <c r="W710" i="1"/>
  <c r="AM710" i="1"/>
  <c r="P711" i="1"/>
  <c r="P491" i="1"/>
  <c r="AF711" i="1"/>
  <c r="AF491" i="1"/>
  <c r="AV711" i="1"/>
  <c r="AV491" i="1"/>
  <c r="S712" i="1"/>
  <c r="AI712" i="1"/>
  <c r="K713" i="1"/>
  <c r="AA713" i="1"/>
  <c r="AQ713" i="1"/>
  <c r="S714" i="1"/>
  <c r="L732" i="1"/>
  <c r="L729" i="1"/>
  <c r="L728" i="1"/>
  <c r="L492" i="1"/>
  <c r="L731" i="1"/>
  <c r="L727" i="1"/>
  <c r="P732" i="1"/>
  <c r="P729" i="1"/>
  <c r="P728" i="1"/>
  <c r="P492" i="1"/>
  <c r="P731" i="1"/>
  <c r="P727" i="1"/>
  <c r="T732" i="1"/>
  <c r="T729" i="1"/>
  <c r="T728" i="1"/>
  <c r="T492" i="1"/>
  <c r="T731" i="1"/>
  <c r="T727" i="1"/>
  <c r="X732" i="1"/>
  <c r="X729" i="1"/>
  <c r="X728" i="1"/>
  <c r="X492" i="1"/>
  <c r="X731" i="1"/>
  <c r="X727" i="1"/>
  <c r="AB732" i="1"/>
  <c r="AB729" i="1"/>
  <c r="AB728" i="1"/>
  <c r="AB492" i="1"/>
  <c r="AB731" i="1"/>
  <c r="AB727" i="1"/>
  <c r="AF732" i="1"/>
  <c r="AF729" i="1"/>
  <c r="AF728" i="1"/>
  <c r="AF492" i="1"/>
  <c r="AF731" i="1"/>
  <c r="AF727" i="1"/>
  <c r="AJ732" i="1"/>
  <c r="AJ729" i="1"/>
  <c r="AJ728" i="1"/>
  <c r="AJ492" i="1"/>
  <c r="AJ727" i="1"/>
  <c r="AN732" i="1"/>
  <c r="AN731" i="1"/>
  <c r="AN729" i="1"/>
  <c r="AN728" i="1"/>
  <c r="AN492" i="1"/>
  <c r="AN727" i="1"/>
  <c r="AR732" i="1"/>
  <c r="AR729" i="1"/>
  <c r="AR731" i="1"/>
  <c r="AR728" i="1"/>
  <c r="AR492" i="1"/>
  <c r="AR727" i="1"/>
  <c r="AV732" i="1"/>
  <c r="AV729" i="1"/>
  <c r="AV728" i="1"/>
  <c r="AV492" i="1"/>
  <c r="AV731" i="1"/>
  <c r="AV727" i="1"/>
  <c r="K727" i="1"/>
  <c r="AA727" i="1"/>
  <c r="T730" i="1"/>
  <c r="AJ730" i="1"/>
  <c r="G731" i="1"/>
  <c r="L715" i="1"/>
  <c r="L714" i="1"/>
  <c r="L710" i="1"/>
  <c r="P715" i="1"/>
  <c r="P714" i="1"/>
  <c r="P710" i="1"/>
  <c r="T715" i="1"/>
  <c r="T714" i="1"/>
  <c r="T710" i="1"/>
  <c r="X715" i="1"/>
  <c r="X714" i="1"/>
  <c r="X710" i="1"/>
  <c r="AB715" i="1"/>
  <c r="AB714" i="1"/>
  <c r="AB710" i="1"/>
  <c r="AF715" i="1"/>
  <c r="AF714" i="1"/>
  <c r="AF710" i="1"/>
  <c r="AJ715" i="1"/>
  <c r="AJ714" i="1"/>
  <c r="AJ710" i="1"/>
  <c r="AN715" i="1"/>
  <c r="AN714" i="1"/>
  <c r="AN710" i="1"/>
  <c r="AR715" i="1"/>
  <c r="AR714" i="1"/>
  <c r="AR710" i="1"/>
  <c r="AV715" i="1"/>
  <c r="AV714" i="1"/>
  <c r="AV710" i="1"/>
  <c r="S710" i="1"/>
  <c r="AI710" i="1"/>
  <c r="L711" i="1"/>
  <c r="L491" i="1"/>
  <c r="AB711" i="1"/>
  <c r="AB491" i="1"/>
  <c r="AR711" i="1"/>
  <c r="AR491" i="1"/>
  <c r="O712" i="1"/>
  <c r="T712" i="1"/>
  <c r="AE712" i="1"/>
  <c r="AJ712" i="1"/>
  <c r="AU712" i="1"/>
  <c r="G713" i="1"/>
  <c r="L713" i="1"/>
  <c r="W713" i="1"/>
  <c r="AB713" i="1"/>
  <c r="AM713" i="1"/>
  <c r="AR713" i="1"/>
  <c r="O714" i="1"/>
  <c r="AE714" i="1"/>
  <c r="AM714" i="1"/>
  <c r="AU714" i="1"/>
  <c r="I732" i="1"/>
  <c r="I728" i="1"/>
  <c r="I492" i="1"/>
  <c r="I731" i="1"/>
  <c r="I727" i="1"/>
  <c r="I730" i="1"/>
  <c r="M732" i="1"/>
  <c r="M728" i="1"/>
  <c r="M492" i="1"/>
  <c r="M731" i="1"/>
  <c r="M727" i="1"/>
  <c r="M730" i="1"/>
  <c r="Q732" i="1"/>
  <c r="Q728" i="1"/>
  <c r="Q492" i="1"/>
  <c r="Q731" i="1"/>
  <c r="Q727" i="1"/>
  <c r="Q730" i="1"/>
  <c r="U732" i="1"/>
  <c r="U728" i="1"/>
  <c r="U492" i="1"/>
  <c r="U731" i="1"/>
  <c r="U727" i="1"/>
  <c r="U730" i="1"/>
  <c r="Y732" i="1"/>
  <c r="Y728" i="1"/>
  <c r="Y492" i="1"/>
  <c r="Y731" i="1"/>
  <c r="Y727" i="1"/>
  <c r="Y730" i="1"/>
  <c r="AC732" i="1"/>
  <c r="AC728" i="1"/>
  <c r="AC492" i="1"/>
  <c r="AC731" i="1"/>
  <c r="AC727" i="1"/>
  <c r="AC730" i="1"/>
  <c r="AG732" i="1"/>
  <c r="AG728" i="1"/>
  <c r="AG492" i="1"/>
  <c r="AG731" i="1"/>
  <c r="AG727" i="1"/>
  <c r="AG730" i="1"/>
  <c r="AK732" i="1"/>
  <c r="AK728" i="1"/>
  <c r="AK492" i="1"/>
  <c r="AK727" i="1"/>
  <c r="AK731" i="1"/>
  <c r="AK730" i="1"/>
  <c r="AO732" i="1"/>
  <c r="AO728" i="1"/>
  <c r="AO492" i="1"/>
  <c r="AO727" i="1"/>
  <c r="AO730" i="1"/>
  <c r="AS732" i="1"/>
  <c r="AS731" i="1"/>
  <c r="AS728" i="1"/>
  <c r="AS492" i="1"/>
  <c r="AS727" i="1"/>
  <c r="AS730" i="1"/>
  <c r="AW732" i="1"/>
  <c r="AW728" i="1"/>
  <c r="AW492" i="1"/>
  <c r="AW731" i="1"/>
  <c r="AW727" i="1"/>
  <c r="AW730" i="1"/>
  <c r="O727" i="1"/>
  <c r="AE727" i="1"/>
  <c r="AU727" i="1"/>
  <c r="U729" i="1"/>
  <c r="AK729" i="1"/>
  <c r="X730" i="1"/>
  <c r="AN730" i="1"/>
  <c r="O710" i="1"/>
  <c r="AE710" i="1"/>
  <c r="AU710" i="1"/>
  <c r="X711" i="1"/>
  <c r="X491" i="1"/>
  <c r="AN711" i="1"/>
  <c r="AN491" i="1"/>
  <c r="K712" i="1"/>
  <c r="P712" i="1"/>
  <c r="AA712" i="1"/>
  <c r="AF712" i="1"/>
  <c r="AQ712" i="1"/>
  <c r="AV712" i="1"/>
  <c r="S713" i="1"/>
  <c r="X713" i="1"/>
  <c r="AI713" i="1"/>
  <c r="AN713" i="1"/>
  <c r="K714" i="1"/>
  <c r="AA714" i="1"/>
  <c r="J731" i="1"/>
  <c r="N731" i="1"/>
  <c r="R731" i="1"/>
  <c r="V731" i="1"/>
  <c r="Z731" i="1"/>
  <c r="AD731" i="1"/>
  <c r="AH729" i="1"/>
  <c r="AL729" i="1"/>
  <c r="AP729" i="1"/>
  <c r="AT729" i="1"/>
  <c r="AX729" i="1"/>
  <c r="L730" i="1"/>
  <c r="AB730" i="1"/>
  <c r="AR730" i="1"/>
  <c r="G728" i="1"/>
  <c r="G492" i="1"/>
  <c r="K728" i="1"/>
  <c r="K492" i="1"/>
  <c r="O728" i="1"/>
  <c r="O492" i="1"/>
  <c r="S728" i="1"/>
  <c r="S492" i="1"/>
  <c r="W728" i="1"/>
  <c r="W492" i="1"/>
  <c r="AA728" i="1"/>
  <c r="AA492" i="1"/>
  <c r="AE728" i="1"/>
  <c r="AE492" i="1"/>
  <c r="AI728" i="1"/>
  <c r="AI492" i="1"/>
  <c r="AM728" i="1"/>
  <c r="AM492" i="1"/>
  <c r="AQ728" i="1"/>
  <c r="AQ492" i="1"/>
  <c r="AU728" i="1"/>
  <c r="AU492" i="1"/>
  <c r="F729" i="1"/>
  <c r="J729" i="1"/>
  <c r="N729" i="1"/>
  <c r="R729" i="1"/>
  <c r="V729" i="1"/>
  <c r="Z729" i="1"/>
  <c r="AD729" i="1"/>
  <c r="AQ731" i="1"/>
  <c r="O732" i="1"/>
  <c r="W732" i="1"/>
  <c r="AE732" i="1"/>
  <c r="AM732" i="1"/>
  <c r="F743" i="1"/>
  <c r="F739" i="1"/>
  <c r="F742" i="1"/>
  <c r="F738" i="1"/>
  <c r="F741" i="1"/>
  <c r="AH731" i="1"/>
  <c r="AL731" i="1"/>
  <c r="AP731" i="1"/>
  <c r="AT732" i="1"/>
  <c r="AT731" i="1"/>
  <c r="AX732" i="1"/>
  <c r="AX731" i="1"/>
  <c r="G729" i="1"/>
  <c r="K729" i="1"/>
  <c r="O729" i="1"/>
  <c r="S729" i="1"/>
  <c r="W729" i="1"/>
  <c r="AA729" i="1"/>
  <c r="AE729" i="1"/>
  <c r="AI729" i="1"/>
  <c r="AM729" i="1"/>
  <c r="AQ729" i="1"/>
  <c r="AU729" i="1"/>
  <c r="F730" i="1"/>
  <c r="J730" i="1"/>
  <c r="N730" i="1"/>
  <c r="R730" i="1"/>
  <c r="V730" i="1"/>
  <c r="Z730" i="1"/>
  <c r="AD730" i="1"/>
  <c r="AH730" i="1"/>
  <c r="AL730" i="1"/>
  <c r="AP730" i="1"/>
  <c r="AT730" i="1"/>
  <c r="AX730" i="1"/>
  <c r="AM731" i="1"/>
  <c r="J732" i="1"/>
  <c r="R732" i="1"/>
  <c r="Z732" i="1"/>
  <c r="AH732" i="1"/>
  <c r="AP732" i="1"/>
  <c r="F727" i="1"/>
  <c r="J727" i="1"/>
  <c r="N727" i="1"/>
  <c r="R727" i="1"/>
  <c r="V727" i="1"/>
  <c r="Z727" i="1"/>
  <c r="AD727" i="1"/>
  <c r="AH727" i="1"/>
  <c r="AL727" i="1"/>
  <c r="AP727" i="1"/>
  <c r="AT727" i="1"/>
  <c r="AX727" i="1"/>
  <c r="K730" i="1"/>
  <c r="S730" i="1"/>
  <c r="AA730" i="1"/>
  <c r="AI730" i="1"/>
  <c r="AQ730" i="1"/>
  <c r="F731" i="1"/>
  <c r="AI731" i="1"/>
  <c r="F740" i="1"/>
  <c r="I738" i="1"/>
  <c r="M738" i="1"/>
  <c r="Q738" i="1"/>
  <c r="U738" i="1"/>
  <c r="Y738" i="1"/>
  <c r="AC738" i="1"/>
  <c r="AG738" i="1"/>
  <c r="AK738" i="1"/>
  <c r="AO738" i="1"/>
  <c r="AS738" i="1"/>
  <c r="AW738" i="1"/>
  <c r="L739" i="1"/>
  <c r="L493" i="1"/>
  <c r="P739" i="1"/>
  <c r="P493" i="1"/>
  <c r="T739" i="1"/>
  <c r="T493" i="1"/>
  <c r="X739" i="1"/>
  <c r="X493" i="1"/>
  <c r="AB739" i="1"/>
  <c r="AB493" i="1"/>
  <c r="AF739" i="1"/>
  <c r="AF493" i="1"/>
  <c r="AJ739" i="1"/>
  <c r="AJ493" i="1"/>
  <c r="AN739" i="1"/>
  <c r="AN493" i="1"/>
  <c r="AR739" i="1"/>
  <c r="AR493" i="1"/>
  <c r="AV739" i="1"/>
  <c r="AV493" i="1"/>
  <c r="G740" i="1"/>
  <c r="K740" i="1"/>
  <c r="O740" i="1"/>
  <c r="S740" i="1"/>
  <c r="W740" i="1"/>
  <c r="AA740" i="1"/>
  <c r="AE740" i="1"/>
  <c r="AI740" i="1"/>
  <c r="AM740" i="1"/>
  <c r="AQ740" i="1"/>
  <c r="AU740" i="1"/>
  <c r="I742" i="1"/>
  <c r="M742" i="1"/>
  <c r="Q742" i="1"/>
  <c r="U742" i="1"/>
  <c r="Y742" i="1"/>
  <c r="AC742" i="1"/>
  <c r="AG742" i="1"/>
  <c r="AK742" i="1"/>
  <c r="AO742" i="1"/>
  <c r="AS742" i="1"/>
  <c r="AW742" i="1"/>
  <c r="L743" i="1"/>
  <c r="P743" i="1"/>
  <c r="T743" i="1"/>
  <c r="X743" i="1"/>
  <c r="AB743" i="1"/>
  <c r="AF743" i="1"/>
  <c r="AJ743" i="1"/>
  <c r="AN743" i="1"/>
  <c r="AR743" i="1"/>
  <c r="AV743" i="1"/>
  <c r="I739" i="1"/>
  <c r="I493" i="1"/>
  <c r="M739" i="1"/>
  <c r="M493" i="1"/>
  <c r="Q739" i="1"/>
  <c r="Q493" i="1"/>
  <c r="U739" i="1"/>
  <c r="U493" i="1"/>
  <c r="Y739" i="1"/>
  <c r="Y493" i="1"/>
  <c r="AC739" i="1"/>
  <c r="AC493" i="1"/>
  <c r="AG739" i="1"/>
  <c r="AG493" i="1"/>
  <c r="AK739" i="1"/>
  <c r="AK493" i="1"/>
  <c r="AO739" i="1"/>
  <c r="AO493" i="1"/>
  <c r="AS739" i="1"/>
  <c r="AS493" i="1"/>
  <c r="AW739" i="1"/>
  <c r="AW493" i="1"/>
  <c r="L740" i="1"/>
  <c r="P740" i="1"/>
  <c r="T740" i="1"/>
  <c r="X740" i="1"/>
  <c r="AB740" i="1"/>
  <c r="AF740" i="1"/>
  <c r="AJ740" i="1"/>
  <c r="AN740" i="1"/>
  <c r="AR740" i="1"/>
  <c r="AV740" i="1"/>
  <c r="G741" i="1"/>
  <c r="K741" i="1"/>
  <c r="O741" i="1"/>
  <c r="S741" i="1"/>
  <c r="W741" i="1"/>
  <c r="AA741" i="1"/>
  <c r="AE741" i="1"/>
  <c r="AI741" i="1"/>
  <c r="AM741" i="1"/>
  <c r="AQ741" i="1"/>
  <c r="AU741" i="1"/>
  <c r="I743" i="1"/>
  <c r="M743" i="1"/>
  <c r="Q743" i="1"/>
  <c r="U743" i="1"/>
  <c r="Y743" i="1"/>
  <c r="AC743" i="1"/>
  <c r="AG743" i="1"/>
  <c r="AK743" i="1"/>
  <c r="AO743" i="1"/>
  <c r="AS743" i="1"/>
  <c r="AW743" i="1"/>
  <c r="G738" i="1"/>
  <c r="K738" i="1"/>
  <c r="O738" i="1"/>
  <c r="S738" i="1"/>
  <c r="W738" i="1"/>
  <c r="AA738" i="1"/>
  <c r="AE738" i="1"/>
  <c r="AI738" i="1"/>
  <c r="AM738" i="1"/>
  <c r="AQ738" i="1"/>
  <c r="AU738" i="1"/>
  <c r="G456" i="1"/>
  <c r="G463" i="1"/>
  <c r="G458" i="1"/>
  <c r="G465" i="1"/>
  <c r="G459" i="1"/>
  <c r="G466" i="1"/>
  <c r="F461" i="1"/>
  <c r="H450" i="1"/>
  <c r="F488" i="1"/>
  <c r="H672" i="1"/>
  <c r="H488" i="1"/>
  <c r="H177" i="1"/>
  <c r="H201" i="1"/>
  <c r="F491" i="1"/>
  <c r="H711" i="1"/>
  <c r="H491" i="1"/>
  <c r="F486" i="1"/>
  <c r="H635" i="1"/>
  <c r="F480" i="1"/>
  <c r="H525" i="1"/>
  <c r="H480" i="1"/>
  <c r="F482" i="1"/>
  <c r="H572" i="1"/>
  <c r="F479" i="1"/>
  <c r="H505" i="1"/>
  <c r="F458" i="1"/>
  <c r="F465" i="1"/>
  <c r="H226" i="1"/>
  <c r="H728" i="1"/>
  <c r="H492" i="1"/>
  <c r="F492" i="1"/>
  <c r="F483" i="1"/>
  <c r="H588" i="1"/>
  <c r="F489" i="1"/>
  <c r="H684" i="1"/>
  <c r="F487" i="1"/>
  <c r="H653" i="1"/>
  <c r="F485" i="1"/>
  <c r="H620" i="1"/>
  <c r="H485" i="1"/>
  <c r="F484" i="1"/>
  <c r="H602" i="1"/>
  <c r="F493" i="1"/>
  <c r="H739" i="1"/>
  <c r="H493" i="1"/>
  <c r="F490" i="1"/>
  <c r="H695" i="1"/>
  <c r="F481" i="1"/>
  <c r="H539" i="1"/>
  <c r="AR494" i="1"/>
  <c r="AJ494" i="1"/>
  <c r="AB494" i="1"/>
  <c r="T494" i="1"/>
  <c r="L494" i="1"/>
  <c r="F460" i="1"/>
  <c r="H398" i="1"/>
  <c r="F459" i="1"/>
  <c r="F466" i="1"/>
  <c r="H303" i="1"/>
  <c r="H227" i="1"/>
  <c r="F456" i="1"/>
  <c r="F463" i="1"/>
  <c r="H175" i="1"/>
  <c r="H456" i="1"/>
  <c r="H463" i="1"/>
  <c r="AI494" i="1"/>
  <c r="S494" i="1"/>
  <c r="AW494" i="1"/>
  <c r="AG494" i="1"/>
  <c r="Q494" i="1"/>
  <c r="V494" i="1"/>
  <c r="AH494" i="1"/>
  <c r="AV494" i="1"/>
  <c r="P494" i="1"/>
  <c r="H527" i="1"/>
  <c r="H526" i="1"/>
  <c r="H529" i="1"/>
  <c r="H528" i="1"/>
  <c r="H524" i="1"/>
  <c r="H696" i="1"/>
  <c r="H699" i="1"/>
  <c r="H698" i="1"/>
  <c r="H490" i="1"/>
  <c r="H694" i="1"/>
  <c r="H697" i="1"/>
  <c r="H591" i="1"/>
  <c r="H590" i="1"/>
  <c r="H592" i="1"/>
  <c r="H483" i="1"/>
  <c r="H589" i="1"/>
  <c r="H587" i="1"/>
  <c r="H176" i="1"/>
  <c r="H458" i="1"/>
  <c r="H465" i="1"/>
  <c r="H225" i="1"/>
  <c r="H196" i="1"/>
  <c r="AU494" i="1"/>
  <c r="AE494" i="1"/>
  <c r="O494" i="1"/>
  <c r="AS494" i="1"/>
  <c r="AC494" i="1"/>
  <c r="M494" i="1"/>
  <c r="AT494" i="1"/>
  <c r="N494" i="1"/>
  <c r="Z494" i="1"/>
  <c r="AN494" i="1"/>
  <c r="H657" i="1"/>
  <c r="H487" i="1"/>
  <c r="H652" i="1"/>
  <c r="H656" i="1"/>
  <c r="H655" i="1"/>
  <c r="H654" i="1"/>
  <c r="H675" i="1"/>
  <c r="H671" i="1"/>
  <c r="H673" i="1"/>
  <c r="H676" i="1"/>
  <c r="H674" i="1"/>
  <c r="H575" i="1"/>
  <c r="H571" i="1"/>
  <c r="H574" i="1"/>
  <c r="H573" i="1"/>
  <c r="H576" i="1"/>
  <c r="H482" i="1"/>
  <c r="H639" i="1"/>
  <c r="H486" i="1"/>
  <c r="H638" i="1"/>
  <c r="H634" i="1"/>
  <c r="H637" i="1"/>
  <c r="H636" i="1"/>
  <c r="H715" i="1"/>
  <c r="H714" i="1"/>
  <c r="H710" i="1"/>
  <c r="H713" i="1"/>
  <c r="H712" i="1"/>
  <c r="H623" i="1"/>
  <c r="H619" i="1"/>
  <c r="H621" i="1"/>
  <c r="H624" i="1"/>
  <c r="H622" i="1"/>
  <c r="H179" i="1"/>
  <c r="H228" i="1"/>
  <c r="H229" i="1"/>
  <c r="H199" i="1"/>
  <c r="AQ494" i="1"/>
  <c r="AA494" i="1"/>
  <c r="K494" i="1"/>
  <c r="AO494" i="1"/>
  <c r="Y494" i="1"/>
  <c r="I494" i="1"/>
  <c r="AL494" i="1"/>
  <c r="AX494" i="1"/>
  <c r="R494" i="1"/>
  <c r="AF494" i="1"/>
  <c r="H729" i="1"/>
  <c r="H732" i="1"/>
  <c r="H731" i="1"/>
  <c r="H727" i="1"/>
  <c r="H730" i="1"/>
  <c r="H741" i="1"/>
  <c r="H740" i="1"/>
  <c r="H743" i="1"/>
  <c r="H742" i="1"/>
  <c r="H738" i="1"/>
  <c r="H686" i="1"/>
  <c r="H685" i="1"/>
  <c r="H489" i="1"/>
  <c r="H688" i="1"/>
  <c r="H687" i="1"/>
  <c r="H683" i="1"/>
  <c r="H605" i="1"/>
  <c r="H601" i="1"/>
  <c r="H604" i="1"/>
  <c r="H603" i="1"/>
  <c r="H606" i="1"/>
  <c r="H484" i="1"/>
  <c r="H306" i="1"/>
  <c r="H302" i="1"/>
  <c r="H305" i="1"/>
  <c r="H304" i="1"/>
  <c r="H307" i="1"/>
  <c r="H459" i="1"/>
  <c r="H466" i="1"/>
  <c r="H541" i="1"/>
  <c r="H540" i="1"/>
  <c r="H543" i="1"/>
  <c r="H481" i="1"/>
  <c r="H542" i="1"/>
  <c r="H538" i="1"/>
  <c r="H178" i="1"/>
  <c r="H230" i="1"/>
  <c r="H198" i="1"/>
  <c r="H457" i="1"/>
  <c r="H464" i="1"/>
  <c r="AM494" i="1"/>
  <c r="W494" i="1"/>
  <c r="G494" i="1"/>
  <c r="AK494" i="1"/>
  <c r="U494" i="1"/>
  <c r="AD494" i="1"/>
  <c r="AP494" i="1"/>
  <c r="J494" i="1"/>
  <c r="X494" i="1"/>
  <c r="H453" i="1"/>
  <c r="H449" i="1"/>
  <c r="H452" i="1"/>
  <c r="H451" i="1"/>
  <c r="H454" i="1"/>
  <c r="H461" i="1"/>
  <c r="H508" i="1"/>
  <c r="H504" i="1"/>
  <c r="H506" i="1"/>
  <c r="H509" i="1"/>
  <c r="H507" i="1"/>
  <c r="H479" i="1"/>
  <c r="H401" i="1"/>
  <c r="H397" i="1"/>
  <c r="H400" i="1"/>
  <c r="H399" i="1"/>
  <c r="H402" i="1"/>
  <c r="H460" i="1"/>
  <c r="H174" i="1"/>
  <c r="H200" i="1"/>
  <c r="F494" i="1"/>
  <c r="H494" i="1"/>
  <c r="L52" i="17" l="1"/>
  <c r="L53" i="17" s="1"/>
  <c r="L54" i="17"/>
  <c r="L55" i="17" s="1"/>
  <c r="L66" i="17"/>
  <c r="L69" i="17" s="1"/>
  <c r="W22" i="23"/>
  <c r="X22" i="18"/>
  <c r="W116" i="23"/>
  <c r="X116" i="18"/>
  <c r="Q139" i="18"/>
  <c r="S44" i="18"/>
  <c r="W98" i="23"/>
  <c r="X98" i="18"/>
  <c r="W92" i="23"/>
  <c r="X92" i="18"/>
  <c r="U136" i="18"/>
  <c r="V136" i="18"/>
  <c r="W23" i="23"/>
  <c r="X23" i="18"/>
  <c r="W123" i="23"/>
  <c r="X123" i="18"/>
  <c r="W43" i="23"/>
  <c r="X43" i="18"/>
  <c r="U125" i="18"/>
  <c r="AB125" i="18"/>
  <c r="AD125" i="18"/>
  <c r="P134" i="18"/>
  <c r="X136" i="18" s="1"/>
  <c r="S64" i="18"/>
  <c r="Q138" i="18"/>
  <c r="S138" i="18" s="1"/>
  <c r="Q134" i="18"/>
  <c r="S134" i="18" s="1"/>
  <c r="Q136" i="18"/>
  <c r="S136" i="18" s="1"/>
  <c r="W25" i="23"/>
  <c r="X25" i="18"/>
  <c r="W39" i="23"/>
  <c r="X39" i="18"/>
  <c r="D37" i="17"/>
  <c r="I66" i="17"/>
  <c r="X137" i="18"/>
  <c r="X34" i="18"/>
  <c r="P139" i="18"/>
  <c r="AD22" i="18"/>
  <c r="AD43" i="18"/>
  <c r="AB107" i="18"/>
  <c r="Z67" i="18"/>
  <c r="X127" i="18"/>
  <c r="K66" i="17"/>
  <c r="K69" i="17" s="1"/>
  <c r="X93" i="18"/>
  <c r="Z41" i="18"/>
  <c r="X86" i="18"/>
  <c r="Z88" i="18"/>
  <c r="Z120" i="18"/>
  <c r="X110" i="18"/>
  <c r="AB71" i="18"/>
  <c r="R136" i="18"/>
  <c r="X51" i="18"/>
  <c r="B25" i="17"/>
  <c r="R8" i="17" s="1"/>
  <c r="Z9" i="18"/>
  <c r="X18" i="18"/>
  <c r="AD82" i="18"/>
  <c r="S58" i="18"/>
  <c r="W58" i="23" s="1"/>
  <c r="Z105" i="18"/>
  <c r="Y125" i="18"/>
  <c r="Z125" i="18" s="1"/>
  <c r="S76" i="18"/>
  <c r="H50" i="17"/>
  <c r="H71" i="17" s="1"/>
  <c r="P138" i="18"/>
  <c r="AD72" i="18"/>
  <c r="L148" i="22"/>
  <c r="X65" i="18"/>
  <c r="X78" i="18"/>
  <c r="X107" i="18"/>
  <c r="Z111" i="18"/>
  <c r="E8" i="17"/>
  <c r="E28" i="17"/>
  <c r="AB25" i="18"/>
  <c r="X5" i="18"/>
  <c r="X37" i="18"/>
  <c r="H33" i="17"/>
  <c r="K52" i="17"/>
  <c r="K53" i="17" s="1"/>
  <c r="Z100" i="18"/>
  <c r="X68" i="18"/>
  <c r="X52" i="18"/>
  <c r="X59" i="18"/>
  <c r="E11" i="17"/>
  <c r="L136" i="23"/>
  <c r="Z101" i="18"/>
  <c r="S90" i="18"/>
  <c r="S81" i="18"/>
  <c r="L101" i="22"/>
  <c r="L101" i="23" s="1"/>
  <c r="U101" i="23" s="1"/>
  <c r="W139" i="23" s="1"/>
  <c r="W72" i="23"/>
  <c r="X72" i="18"/>
  <c r="W48" i="23"/>
  <c r="X48" i="18"/>
  <c r="H19" i="17"/>
  <c r="H20" i="17" s="1"/>
  <c r="H17" i="17"/>
  <c r="H18" i="17" s="1"/>
  <c r="W62" i="23"/>
  <c r="X62" i="18"/>
  <c r="W131" i="23"/>
  <c r="X131" i="18"/>
  <c r="W124" i="23"/>
  <c r="X124" i="18"/>
  <c r="W121" i="23"/>
  <c r="X121" i="18"/>
  <c r="W96" i="23"/>
  <c r="X96" i="18"/>
  <c r="W38" i="23"/>
  <c r="X38" i="18"/>
  <c r="C30" i="17"/>
  <c r="W14" i="23"/>
  <c r="X14" i="18"/>
  <c r="W137" i="23"/>
  <c r="W108" i="23"/>
  <c r="X108" i="18"/>
  <c r="W71" i="23"/>
  <c r="X71" i="18"/>
  <c r="W9" i="23"/>
  <c r="X9" i="18"/>
  <c r="W11" i="23"/>
  <c r="X11" i="18"/>
  <c r="W112" i="23"/>
  <c r="X112" i="18"/>
  <c r="W89" i="23"/>
  <c r="X89" i="18"/>
  <c r="W97" i="23"/>
  <c r="X97" i="18"/>
  <c r="S137" i="18"/>
  <c r="H72" i="17"/>
  <c r="H54" i="17"/>
  <c r="H55" i="17" s="1"/>
  <c r="U130" i="18"/>
  <c r="V130" i="18"/>
  <c r="U129" i="18"/>
  <c r="V129" i="18"/>
  <c r="U128" i="18"/>
  <c r="V128" i="18"/>
  <c r="U115" i="18"/>
  <c r="V115" i="18"/>
  <c r="U111" i="18"/>
  <c r="V111" i="18"/>
  <c r="U98" i="18"/>
  <c r="V98" i="18"/>
  <c r="U102" i="18"/>
  <c r="V102" i="18"/>
  <c r="U47" i="18"/>
  <c r="V47" i="18"/>
  <c r="U30" i="18"/>
  <c r="V30" i="18"/>
  <c r="U60" i="18"/>
  <c r="V60" i="18"/>
  <c r="U59" i="18"/>
  <c r="V59" i="18"/>
  <c r="U93" i="18"/>
  <c r="V93" i="18"/>
  <c r="U22" i="18"/>
  <c r="V22" i="18"/>
  <c r="U21" i="18"/>
  <c r="V21" i="18"/>
  <c r="U57" i="18"/>
  <c r="V57" i="18"/>
  <c r="U51" i="18"/>
  <c r="V51" i="18"/>
  <c r="U29" i="18"/>
  <c r="V29" i="18"/>
  <c r="U18" i="18"/>
  <c r="V18" i="18"/>
  <c r="U49" i="18"/>
  <c r="V49" i="18"/>
  <c r="D7" i="17"/>
  <c r="C27" i="17"/>
  <c r="E27" i="17" s="1"/>
  <c r="C29" i="17"/>
  <c r="E29" i="17" s="1"/>
  <c r="U126" i="18"/>
  <c r="V126" i="18"/>
  <c r="U77" i="18"/>
  <c r="V77" i="18"/>
  <c r="U19" i="18"/>
  <c r="V19" i="18"/>
  <c r="U86" i="18"/>
  <c r="V86" i="18"/>
  <c r="U91" i="18"/>
  <c r="V91" i="18"/>
  <c r="U50" i="18"/>
  <c r="V50" i="18"/>
  <c r="X35" i="18"/>
  <c r="U31" i="18"/>
  <c r="V31" i="18"/>
  <c r="U95" i="18"/>
  <c r="V95" i="18"/>
  <c r="U105" i="18"/>
  <c r="V105" i="18"/>
  <c r="U119" i="18"/>
  <c r="V119" i="18"/>
  <c r="S19" i="18"/>
  <c r="U65" i="18"/>
  <c r="V65" i="18"/>
  <c r="U26" i="18"/>
  <c r="V26" i="18"/>
  <c r="AD31" i="18"/>
  <c r="U8" i="18"/>
  <c r="V8" i="18"/>
  <c r="S8" i="18"/>
  <c r="U56" i="18"/>
  <c r="V56" i="18"/>
  <c r="U112" i="18"/>
  <c r="V112" i="18"/>
  <c r="S40" i="18"/>
  <c r="S36" i="18"/>
  <c r="X49" i="18"/>
  <c r="X47" i="18"/>
  <c r="X6" i="18"/>
  <c r="X122" i="18"/>
  <c r="X15" i="18"/>
  <c r="X77" i="18"/>
  <c r="X53" i="18"/>
  <c r="AB129" i="18"/>
  <c r="X125" i="18"/>
  <c r="X120" i="18"/>
  <c r="X119" i="18"/>
  <c r="X104" i="18"/>
  <c r="U99" i="18"/>
  <c r="V99" i="18"/>
  <c r="X100" i="18"/>
  <c r="X95" i="18"/>
  <c r="X83" i="18"/>
  <c r="X79" i="18"/>
  <c r="X87" i="18"/>
  <c r="U75" i="18"/>
  <c r="V75" i="18"/>
  <c r="X73" i="18"/>
  <c r="U67" i="18"/>
  <c r="V67" i="18"/>
  <c r="AB48" i="18"/>
  <c r="U10" i="18"/>
  <c r="V10" i="18"/>
  <c r="U63" i="18"/>
  <c r="V63" i="18"/>
  <c r="U73" i="18"/>
  <c r="V73" i="18"/>
  <c r="U41" i="18"/>
  <c r="V41" i="18"/>
  <c r="X33" i="18"/>
  <c r="U14" i="18"/>
  <c r="V14" i="18"/>
  <c r="AB6" i="18"/>
  <c r="U37" i="18"/>
  <c r="V37" i="18"/>
  <c r="B7" i="17"/>
  <c r="P8" i="17" s="1"/>
  <c r="E10" i="17"/>
  <c r="X114" i="18"/>
  <c r="AD11" i="18"/>
  <c r="X45" i="18"/>
  <c r="X69" i="18"/>
  <c r="X94" i="18"/>
  <c r="U101" i="18"/>
  <c r="V101" i="18"/>
  <c r="S113" i="18"/>
  <c r="S126" i="18"/>
  <c r="AB62" i="18"/>
  <c r="U58" i="18"/>
  <c r="V58" i="18"/>
  <c r="U46" i="18"/>
  <c r="V46" i="18"/>
  <c r="X85" i="18"/>
  <c r="U94" i="18"/>
  <c r="V94" i="18"/>
  <c r="U110" i="18"/>
  <c r="V110" i="18"/>
  <c r="U122" i="18"/>
  <c r="V122" i="18"/>
  <c r="X66" i="18"/>
  <c r="U54" i="18"/>
  <c r="V54" i="18"/>
  <c r="U35" i="18"/>
  <c r="V35" i="18"/>
  <c r="U15" i="18"/>
  <c r="V15" i="18"/>
  <c r="U82" i="18"/>
  <c r="V82" i="18"/>
  <c r="AB126" i="18"/>
  <c r="V5" i="18"/>
  <c r="U5" i="18"/>
  <c r="AB8" i="18"/>
  <c r="U12" i="18"/>
  <c r="V12" i="18"/>
  <c r="U16" i="18"/>
  <c r="V16" i="18"/>
  <c r="U32" i="18"/>
  <c r="V32" i="18"/>
  <c r="AB32" i="18"/>
  <c r="U40" i="18"/>
  <c r="V40" i="18"/>
  <c r="U52" i="18"/>
  <c r="V52" i="18"/>
  <c r="AB56" i="18"/>
  <c r="U64" i="18"/>
  <c r="V64" i="18"/>
  <c r="U70" i="18"/>
  <c r="V70" i="18"/>
  <c r="S70" i="18"/>
  <c r="U84" i="18"/>
  <c r="V84" i="18"/>
  <c r="U104" i="18"/>
  <c r="V104" i="18"/>
  <c r="U116" i="18"/>
  <c r="V116" i="18"/>
  <c r="S132" i="18"/>
  <c r="U89" i="18"/>
  <c r="V89" i="18"/>
  <c r="W76" i="23"/>
  <c r="X76" i="18"/>
  <c r="S12" i="18"/>
  <c r="U127" i="18"/>
  <c r="V127" i="18"/>
  <c r="U124" i="18"/>
  <c r="V124" i="18"/>
  <c r="S111" i="18"/>
  <c r="U107" i="18"/>
  <c r="V107" i="18"/>
  <c r="AB102" i="18"/>
  <c r="U88" i="18"/>
  <c r="V88" i="18"/>
  <c r="U72" i="18"/>
  <c r="V72" i="18"/>
  <c r="U71" i="18"/>
  <c r="V71" i="18"/>
  <c r="U55" i="18"/>
  <c r="V55" i="18"/>
  <c r="U48" i="18"/>
  <c r="V48" i="18"/>
  <c r="U6" i="18"/>
  <c r="V6" i="18"/>
  <c r="U43" i="18"/>
  <c r="V43" i="18"/>
  <c r="X26" i="18"/>
  <c r="U17" i="18"/>
  <c r="V17" i="18"/>
  <c r="U9" i="18"/>
  <c r="V9" i="18"/>
  <c r="C26" i="17"/>
  <c r="C7" i="17"/>
  <c r="U97" i="18"/>
  <c r="V97" i="18"/>
  <c r="U42" i="18"/>
  <c r="V42" i="18"/>
  <c r="U11" i="18"/>
  <c r="V11" i="18"/>
  <c r="U83" i="18"/>
  <c r="V83" i="18"/>
  <c r="U62" i="18"/>
  <c r="V62" i="18"/>
  <c r="U53" i="18"/>
  <c r="V53" i="18"/>
  <c r="U109" i="18"/>
  <c r="V109" i="18"/>
  <c r="U113" i="18"/>
  <c r="V113" i="18"/>
  <c r="U78" i="18"/>
  <c r="V78" i="18"/>
  <c r="U85" i="18"/>
  <c r="V85" i="18"/>
  <c r="AD53" i="18"/>
  <c r="Z8" i="18"/>
  <c r="U20" i="18"/>
  <c r="V20" i="18"/>
  <c r="AB20" i="18"/>
  <c r="S20" i="18"/>
  <c r="U24" i="18"/>
  <c r="V24" i="18"/>
  <c r="S24" i="18"/>
  <c r="U27" i="18"/>
  <c r="V27" i="18"/>
  <c r="Z32" i="18"/>
  <c r="U36" i="18"/>
  <c r="V36" i="18"/>
  <c r="AB64" i="18"/>
  <c r="U80" i="18"/>
  <c r="V80" i="18"/>
  <c r="X84" i="18"/>
  <c r="W118" i="23"/>
  <c r="X118" i="18"/>
  <c r="U61" i="18"/>
  <c r="V61" i="18"/>
  <c r="S16" i="18"/>
  <c r="X10" i="18"/>
  <c r="X30" i="18"/>
  <c r="X7" i="18"/>
  <c r="X60" i="18"/>
  <c r="X13" i="18"/>
  <c r="X57" i="18"/>
  <c r="X75" i="18"/>
  <c r="X115" i="18"/>
  <c r="V134" i="18"/>
  <c r="U134" i="18"/>
  <c r="X55" i="18"/>
  <c r="X88" i="18"/>
  <c r="X91" i="18"/>
  <c r="X82" i="18"/>
  <c r="X117" i="18"/>
  <c r="X63" i="18"/>
  <c r="S130" i="18"/>
  <c r="S129" i="18"/>
  <c r="U131" i="18"/>
  <c r="V131" i="18"/>
  <c r="U120" i="18"/>
  <c r="V120" i="18"/>
  <c r="S128" i="18"/>
  <c r="S102" i="18"/>
  <c r="AD130" i="18"/>
  <c r="AD111" i="18"/>
  <c r="X99" i="18"/>
  <c r="AB98" i="18"/>
  <c r="X106" i="18"/>
  <c r="Z102" i="18"/>
  <c r="X103" i="18"/>
  <c r="U100" i="18"/>
  <c r="V100" i="18"/>
  <c r="U79" i="18"/>
  <c r="V79" i="18"/>
  <c r="U92" i="18"/>
  <c r="V92" i="18"/>
  <c r="X80" i="18"/>
  <c r="X67" i="18"/>
  <c r="X41" i="18"/>
  <c r="AB93" i="18"/>
  <c r="U34" i="18"/>
  <c r="V34" i="18"/>
  <c r="U33" i="18"/>
  <c r="V33" i="18"/>
  <c r="S21" i="18"/>
  <c r="U13" i="18"/>
  <c r="V13" i="18"/>
  <c r="AB57" i="18"/>
  <c r="U25" i="18"/>
  <c r="V25" i="18"/>
  <c r="X17" i="18"/>
  <c r="S29" i="18"/>
  <c r="X27" i="18"/>
  <c r="U7" i="18"/>
  <c r="V7" i="18"/>
  <c r="AB60" i="18"/>
  <c r="AB109" i="18"/>
  <c r="AB83" i="18"/>
  <c r="Z46" i="18"/>
  <c r="U114" i="18"/>
  <c r="V114" i="18"/>
  <c r="Z77" i="18"/>
  <c r="S31" i="18"/>
  <c r="AB19" i="18"/>
  <c r="U45" i="18"/>
  <c r="V45" i="18"/>
  <c r="U69" i="18"/>
  <c r="V69" i="18"/>
  <c r="S109" i="18"/>
  <c r="U117" i="18"/>
  <c r="V117" i="18"/>
  <c r="U121" i="18"/>
  <c r="V121" i="18"/>
  <c r="S54" i="18"/>
  <c r="S50" i="18"/>
  <c r="AB31" i="18"/>
  <c r="U87" i="18"/>
  <c r="V87" i="18"/>
  <c r="S101" i="18"/>
  <c r="U106" i="18"/>
  <c r="V106" i="18"/>
  <c r="AD94" i="18"/>
  <c r="AB101" i="18"/>
  <c r="U66" i="18"/>
  <c r="V66" i="18"/>
  <c r="Z35" i="18"/>
  <c r="AB26" i="18"/>
  <c r="U23" i="18"/>
  <c r="V23" i="18"/>
  <c r="AB82" i="18"/>
  <c r="AD8" i="18"/>
  <c r="AB12" i="18"/>
  <c r="U28" i="18"/>
  <c r="V28" i="18"/>
  <c r="S28" i="18"/>
  <c r="U96" i="18"/>
  <c r="V96" i="18"/>
  <c r="AD116" i="18"/>
  <c r="AB132" i="18"/>
  <c r="U132" i="18"/>
  <c r="V132" i="18"/>
  <c r="W90" i="23"/>
  <c r="X90" i="18"/>
  <c r="W81" i="23"/>
  <c r="X81" i="18"/>
  <c r="S32" i="18"/>
  <c r="V118" i="18"/>
  <c r="V103" i="18"/>
  <c r="V39" i="18"/>
  <c r="M105" i="22"/>
  <c r="L105" i="22"/>
  <c r="L105" i="23" s="1"/>
  <c r="U105" i="23" s="1"/>
  <c r="V90" i="18"/>
  <c r="V74" i="18"/>
  <c r="V38" i="18"/>
  <c r="L27" i="22"/>
  <c r="L27" i="23" s="1"/>
  <c r="K139" i="22"/>
  <c r="S74" i="18"/>
  <c r="V125" i="18"/>
  <c r="V123" i="18"/>
  <c r="V81" i="18"/>
  <c r="L77" i="22"/>
  <c r="L77" i="23" s="1"/>
  <c r="U77" i="23" s="1"/>
  <c r="M77" i="22"/>
  <c r="V108" i="18"/>
  <c r="V76" i="18"/>
  <c r="V68" i="18"/>
  <c r="V44" i="18"/>
  <c r="C37" i="17"/>
  <c r="B37" i="17"/>
  <c r="U139" i="18" l="1"/>
  <c r="X139" i="18"/>
  <c r="V139" i="18"/>
  <c r="S139" i="18"/>
  <c r="H52" i="17"/>
  <c r="H53" i="17" s="1"/>
  <c r="E7" i="17"/>
  <c r="B30" i="17"/>
  <c r="W64" i="23"/>
  <c r="X64" i="18"/>
  <c r="X58" i="18"/>
  <c r="U138" i="18"/>
  <c r="V138" i="18"/>
  <c r="X138" i="18"/>
  <c r="H66" i="17"/>
  <c r="I69" i="17"/>
  <c r="H69" i="17" s="1"/>
  <c r="W44" i="23"/>
  <c r="X44" i="18"/>
  <c r="W130" i="23"/>
  <c r="X130" i="18"/>
  <c r="W24" i="23"/>
  <c r="X24" i="18"/>
  <c r="W74" i="23"/>
  <c r="X74" i="18"/>
  <c r="W109" i="23"/>
  <c r="X109" i="18"/>
  <c r="W21" i="23"/>
  <c r="X21" i="18"/>
  <c r="W102" i="23"/>
  <c r="X102" i="18"/>
  <c r="W111" i="23"/>
  <c r="X111" i="18"/>
  <c r="W113" i="23"/>
  <c r="X113" i="18"/>
  <c r="W8" i="23"/>
  <c r="X8" i="18"/>
  <c r="W19" i="23"/>
  <c r="X19" i="18"/>
  <c r="K144" i="22"/>
  <c r="L139" i="22"/>
  <c r="L144" i="22" s="1"/>
  <c r="M139" i="22"/>
  <c r="M144" i="22" s="1"/>
  <c r="W29" i="23"/>
  <c r="X29" i="18"/>
  <c r="W128" i="23"/>
  <c r="X128" i="18"/>
  <c r="W16" i="23"/>
  <c r="X16" i="18"/>
  <c r="C25" i="17"/>
  <c r="E25" i="17" s="1"/>
  <c r="E26" i="17"/>
  <c r="W12" i="23"/>
  <c r="X12" i="18"/>
  <c r="W70" i="23"/>
  <c r="X70" i="18"/>
  <c r="L137" i="23"/>
  <c r="U27" i="23"/>
  <c r="W28" i="23"/>
  <c r="X28" i="18"/>
  <c r="W101" i="23"/>
  <c r="X101" i="18"/>
  <c r="W50" i="23"/>
  <c r="X50" i="18"/>
  <c r="W31" i="23"/>
  <c r="X31" i="18"/>
  <c r="W129" i="23"/>
  <c r="X129" i="18"/>
  <c r="W20" i="23"/>
  <c r="X20" i="18"/>
  <c r="W132" i="23"/>
  <c r="X132" i="18"/>
  <c r="W36" i="23"/>
  <c r="X36" i="18"/>
  <c r="Y140" i="23"/>
  <c r="E37" i="17"/>
  <c r="W32" i="23"/>
  <c r="X32" i="18"/>
  <c r="W54" i="23"/>
  <c r="X54" i="18"/>
  <c r="W126" i="23"/>
  <c r="X126" i="18"/>
  <c r="W40" i="23"/>
  <c r="X40" i="18"/>
  <c r="Y139" i="23" l="1"/>
  <c r="Y138" i="23"/>
  <c r="W138" i="23"/>
  <c r="U134" i="23"/>
  <c r="Y136" i="23"/>
  <c r="Y137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White</author>
  </authors>
  <commentList>
    <comment ref="B1" authorId="0" shapeId="0" xr:uid="{A2499048-03D8-4582-BCC1-B7B3B3C07AA3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Don't overwrite these values in column A and 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tc={B351986F-4D10-40D4-A00D-60241532A5E0}</author>
  </authors>
  <commentList>
    <comment ref="J3" authorId="0" shapeId="0" xr:uid="{B351986F-4D10-40D4-A00D-60241532A5E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all CDS returned in LGA</t>
      </text>
    </comment>
  </commentList>
</comments>
</file>

<file path=xl/sharedStrings.xml><?xml version="1.0" encoding="utf-8"?>
<sst xmlns="http://schemas.openxmlformats.org/spreadsheetml/2006/main" count="5528" uniqueCount="800">
  <si>
    <t>Total</t>
  </si>
  <si>
    <t>N</t>
  </si>
  <si>
    <t>E</t>
  </si>
  <si>
    <t>S</t>
  </si>
  <si>
    <t>R</t>
  </si>
  <si>
    <t>Region</t>
  </si>
  <si>
    <t>Council Name</t>
  </si>
  <si>
    <t>ABS</t>
  </si>
  <si>
    <t>NSW</t>
  </si>
  <si>
    <t>SMA</t>
  </si>
  <si>
    <t>ERA</t>
  </si>
  <si>
    <t>RRA</t>
  </si>
  <si>
    <t>Rest of the State</t>
  </si>
  <si>
    <t>Councils</t>
  </si>
  <si>
    <t>F</t>
  </si>
  <si>
    <t>Regional Groups</t>
  </si>
  <si>
    <t>RAMROC Murray</t>
  </si>
  <si>
    <t>NIRW</t>
  </si>
  <si>
    <t>SSROC</t>
  </si>
  <si>
    <t>WSROC</t>
  </si>
  <si>
    <t>NEWF</t>
  </si>
  <si>
    <t>CBRJO</t>
  </si>
  <si>
    <t>REROC</t>
  </si>
  <si>
    <t xml:space="preserve">Bayside Council </t>
  </si>
  <si>
    <t>RAMROC Riverina</t>
  </si>
  <si>
    <t>Hunter</t>
  </si>
  <si>
    <t>NSROC</t>
  </si>
  <si>
    <t>Top</t>
  </si>
  <si>
    <t>OLD NRA</t>
  </si>
  <si>
    <t>GSR</t>
  </si>
  <si>
    <t>Count</t>
  </si>
  <si>
    <t>Sum</t>
  </si>
  <si>
    <t>Min</t>
  </si>
  <si>
    <t>Max</t>
  </si>
  <si>
    <t>Ave</t>
  </si>
  <si>
    <t>Median</t>
  </si>
  <si>
    <t>HUNTER</t>
  </si>
  <si>
    <t>Unincorporated</t>
  </si>
  <si>
    <t>LGA Code</t>
  </si>
  <si>
    <t>NEW LGA code</t>
  </si>
  <si>
    <t>NEW Council Name</t>
  </si>
  <si>
    <t>ISJO</t>
  </si>
  <si>
    <t>NetWaste</t>
  </si>
  <si>
    <t>MidWaste</t>
  </si>
  <si>
    <t>Fixed Columns</t>
  </si>
  <si>
    <t>Rest of NSW</t>
  </si>
  <si>
    <t>GSR / MLA</t>
  </si>
  <si>
    <t>Un.Inc.</t>
  </si>
  <si>
    <t>LGA code</t>
  </si>
  <si>
    <t>Coffs Harbour</t>
  </si>
  <si>
    <t>hh</t>
  </si>
  <si>
    <t>Bellingen</t>
  </si>
  <si>
    <t>Blacktown</t>
  </si>
  <si>
    <t>Campbelltown</t>
  </si>
  <si>
    <t>Cumberland</t>
  </si>
  <si>
    <t>Georges River</t>
  </si>
  <si>
    <t>Hunters Hill</t>
  </si>
  <si>
    <t>Inner West</t>
  </si>
  <si>
    <t>Ku-ring-gai</t>
  </si>
  <si>
    <t>Lane Cove</t>
  </si>
  <si>
    <t>Liverpool</t>
  </si>
  <si>
    <t>Nambucca</t>
  </si>
  <si>
    <t>North Sydney</t>
  </si>
  <si>
    <t>Parramatta</t>
  </si>
  <si>
    <t>Penrith</t>
  </si>
  <si>
    <t>Port Stephens</t>
  </si>
  <si>
    <t>Randwick</t>
  </si>
  <si>
    <t>Ryde</t>
  </si>
  <si>
    <t>Sydney</t>
  </si>
  <si>
    <t>Waverley</t>
  </si>
  <si>
    <t>Willoughby</t>
  </si>
  <si>
    <t>Wingecarribee</t>
  </si>
  <si>
    <t>Woollahra</t>
  </si>
  <si>
    <t>RAMJO Murray</t>
  </si>
  <si>
    <t>CRJO</t>
  </si>
  <si>
    <t>RAMJO Riverina</t>
  </si>
  <si>
    <t>Camden</t>
  </si>
  <si>
    <t>Gunnedah</t>
  </si>
  <si>
    <t>Albury</t>
  </si>
  <si>
    <t>Armidale Regional</t>
  </si>
  <si>
    <t>Ballina</t>
  </si>
  <si>
    <t>Balranald</t>
  </si>
  <si>
    <t>Bathurst Regional</t>
  </si>
  <si>
    <t>Bega Valley</t>
  </si>
  <si>
    <t>Berrigan</t>
  </si>
  <si>
    <t>Bland</t>
  </si>
  <si>
    <t>Blayney</t>
  </si>
  <si>
    <t>Blue Mountains</t>
  </si>
  <si>
    <t>Bogan</t>
  </si>
  <si>
    <t>Bourke</t>
  </si>
  <si>
    <t>Brewarrina</t>
  </si>
  <si>
    <t>Broken Hill</t>
  </si>
  <si>
    <t>Burwood</t>
  </si>
  <si>
    <t>Byron</t>
  </si>
  <si>
    <t>Cabonne</t>
  </si>
  <si>
    <t>Canada Bay</t>
  </si>
  <si>
    <t>Canterbury-Bankstown</t>
  </si>
  <si>
    <t>Carrathool</t>
  </si>
  <si>
    <t>Central Coast</t>
  </si>
  <si>
    <t>Central Darling</t>
  </si>
  <si>
    <t>Cessnock</t>
  </si>
  <si>
    <t>Clarence Valley</t>
  </si>
  <si>
    <t>Cobar</t>
  </si>
  <si>
    <t>Coolamon</t>
  </si>
  <si>
    <t>Coonamble</t>
  </si>
  <si>
    <t>Cootamundra - Gundagai</t>
  </si>
  <si>
    <t>Cowra</t>
  </si>
  <si>
    <t>Dubbo Regional</t>
  </si>
  <si>
    <t>Dungog</t>
  </si>
  <si>
    <t>Edward River</t>
  </si>
  <si>
    <t>Eurobodalla</t>
  </si>
  <si>
    <t>Fairfield</t>
  </si>
  <si>
    <t>Federation</t>
  </si>
  <si>
    <t>Forbes</t>
  </si>
  <si>
    <t>Gilgandra</t>
  </si>
  <si>
    <t>Glen Innes Severn</t>
  </si>
  <si>
    <t>Goulburn Mulwaree</t>
  </si>
  <si>
    <t>Greater Hume Shire</t>
  </si>
  <si>
    <t>Griffith</t>
  </si>
  <si>
    <t>Gwydir</t>
  </si>
  <si>
    <t>Hawkesbury</t>
  </si>
  <si>
    <t>Hay</t>
  </si>
  <si>
    <t>Hilltops</t>
  </si>
  <si>
    <t>Hornsby</t>
  </si>
  <si>
    <t>Inverell</t>
  </si>
  <si>
    <t>Junee</t>
  </si>
  <si>
    <t>Kempsey</t>
  </si>
  <si>
    <t>Kiama</t>
  </si>
  <si>
    <t>Kyogle</t>
  </si>
  <si>
    <t>Lachlan</t>
  </si>
  <si>
    <t>Lake Macquarie</t>
  </si>
  <si>
    <t>Leeton</t>
  </si>
  <si>
    <t>Lismore</t>
  </si>
  <si>
    <t>Lithgow</t>
  </si>
  <si>
    <t>Liverpool Plains</t>
  </si>
  <si>
    <t>Lockhart</t>
  </si>
  <si>
    <t>Maitland</t>
  </si>
  <si>
    <t>Mid-Coast</t>
  </si>
  <si>
    <t>Mid-Western Regional</t>
  </si>
  <si>
    <t>Moree Plains</t>
  </si>
  <si>
    <t>Mosman</t>
  </si>
  <si>
    <t>Murray River</t>
  </si>
  <si>
    <t>Murrumbidgee</t>
  </si>
  <si>
    <t>Muswellbrook</t>
  </si>
  <si>
    <t>Narrabri</t>
  </si>
  <si>
    <t>Narrandera</t>
  </si>
  <si>
    <t>Narromine</t>
  </si>
  <si>
    <t>Newcastle</t>
  </si>
  <si>
    <t>Northern Beaches</t>
  </si>
  <si>
    <t>Oberon</t>
  </si>
  <si>
    <t>Orange</t>
  </si>
  <si>
    <t>Parkes</t>
  </si>
  <si>
    <t>Port Macquarie-Hastings</t>
  </si>
  <si>
    <t>Queanbeyan-Palerang Regional</t>
  </si>
  <si>
    <t>Richmond Valley</t>
  </si>
  <si>
    <t>Shellharbour</t>
  </si>
  <si>
    <t>Shoalhaven</t>
  </si>
  <si>
    <t>Singleton</t>
  </si>
  <si>
    <t>Snowy Monaro Regional</t>
  </si>
  <si>
    <t>Snowy Valleys</t>
  </si>
  <si>
    <t>Strathfield</t>
  </si>
  <si>
    <t>Sutherland Shire</t>
  </si>
  <si>
    <t>Tamworth Regional</t>
  </si>
  <si>
    <t>Temora</t>
  </si>
  <si>
    <t>Tenterfield</t>
  </si>
  <si>
    <t>The Hills Shire</t>
  </si>
  <si>
    <t>Tweed</t>
  </si>
  <si>
    <t>Upper Hunter Shire</t>
  </si>
  <si>
    <t>Upper Lachlan Shire</t>
  </si>
  <si>
    <t>Uralla</t>
  </si>
  <si>
    <t>Wagga Wagga</t>
  </si>
  <si>
    <t>Walcha</t>
  </si>
  <si>
    <t>Walgett</t>
  </si>
  <si>
    <t>Warren</t>
  </si>
  <si>
    <t>Warrumbungle Shire</t>
  </si>
  <si>
    <t>Weddin</t>
  </si>
  <si>
    <t>Wentworth</t>
  </si>
  <si>
    <t>Wollondilly</t>
  </si>
  <si>
    <t>Wollongong</t>
  </si>
  <si>
    <t>Yass Valley</t>
  </si>
  <si>
    <t>% Change</t>
  </si>
  <si>
    <t>2020-21</t>
  </si>
  <si>
    <t>Population ABS 2020</t>
  </si>
  <si>
    <t>Ave Person to HH</t>
  </si>
  <si>
    <t>Area</t>
  </si>
  <si>
    <t>No.</t>
  </si>
  <si>
    <t>ave</t>
  </si>
  <si>
    <t>km2</t>
  </si>
  <si>
    <t>Boorowa</t>
  </si>
  <si>
    <t>Tumbarumba</t>
  </si>
  <si>
    <t>Tumut</t>
  </si>
  <si>
    <t xml:space="preserve">Total Households LG Survey    </t>
  </si>
  <si>
    <t>Population density</t>
  </si>
  <si>
    <t>MSWA</t>
  </si>
  <si>
    <t>Joint Org</t>
  </si>
  <si>
    <t>RMJO</t>
  </si>
  <si>
    <t>NEJO</t>
  </si>
  <si>
    <t>NRJO</t>
  </si>
  <si>
    <t>FSWJO</t>
  </si>
  <si>
    <t>CNJO</t>
  </si>
  <si>
    <t>MNCJO</t>
  </si>
  <si>
    <t>RJO</t>
  </si>
  <si>
    <t>OJO</t>
  </si>
  <si>
    <t>FNWJO</t>
  </si>
  <si>
    <t>HJO</t>
  </si>
  <si>
    <t>NJO</t>
  </si>
  <si>
    <t>persons/km2</t>
  </si>
  <si>
    <t>LGA Average DWMC $</t>
  </si>
  <si>
    <t>Data Received</t>
  </si>
  <si>
    <t>No.Hh 'Residual Waste Service</t>
  </si>
  <si>
    <t>No. Hh 'Recycling Service</t>
  </si>
  <si>
    <t>No. Hh 'Garden Organics Service</t>
  </si>
  <si>
    <t>No. Hh 'Food and Garden Organics Service</t>
  </si>
  <si>
    <t>No. Hh with 'Clean Up Service</t>
  </si>
  <si>
    <t>No. Hh with access to Drop Off Service access</t>
  </si>
  <si>
    <t>Drop Off Facility</t>
  </si>
  <si>
    <t>Y</t>
  </si>
  <si>
    <t>Yes</t>
  </si>
  <si>
    <t>Albury Waste Management Centre</t>
  </si>
  <si>
    <t>Armidale WTF, Long Swamp Road, Armidale</t>
  </si>
  <si>
    <t>Guyra WTS, Everett Street, Guyra</t>
  </si>
  <si>
    <t>Hillgrove WTS, Wood Street, Hillgrove</t>
  </si>
  <si>
    <t>Wolloomombi WTS, Village Road, Wollomombi</t>
  </si>
  <si>
    <t>Ebor WTS, 8478LI Waterfall Way</t>
  </si>
  <si>
    <t>Lower Creek WTS, 8493 Kempsey Road</t>
  </si>
  <si>
    <t>Ben Lomond WTS, 1536LI Wandsworth Road</t>
  </si>
  <si>
    <t>Ballina Waste Management Centre, 167 Southern Cross Drive, Ballina, NSW, 2478</t>
  </si>
  <si>
    <t>No</t>
  </si>
  <si>
    <t>Bathurst Landfill</t>
  </si>
  <si>
    <t xml:space="preserve">Hillend Landfill </t>
  </si>
  <si>
    <t>Rockly Transfer Station</t>
  </si>
  <si>
    <t>Sofala Transfer Station</t>
  </si>
  <si>
    <t>Sunny Corner Transfer Station</t>
  </si>
  <si>
    <t xml:space="preserve">Trunkey Creek Transfer Station </t>
  </si>
  <si>
    <t>N/A</t>
  </si>
  <si>
    <t>Bemboka Waste Depot</t>
  </si>
  <si>
    <t>Bermagui Waste &amp; Recycling Depot</t>
  </si>
  <si>
    <t>Candelo Waste Depot</t>
  </si>
  <si>
    <t>Eden Waste &amp; Recycling Depot</t>
  </si>
  <si>
    <t>Merimbula Waste &amp; Recycling Depot</t>
  </si>
  <si>
    <t>Wallagoot Waste Depot</t>
  </si>
  <si>
    <t xml:space="preserve">Dorrigo WMC </t>
  </si>
  <si>
    <t>Raleigh WMC</t>
  </si>
  <si>
    <t xml:space="preserve">Bellingen Transfer station </t>
  </si>
  <si>
    <t>Berrigan Landfill</t>
  </si>
  <si>
    <t>Tocumwal Transfer Station</t>
  </si>
  <si>
    <t>Chemical CleanOut - Station St, Rooty Hill NSW</t>
  </si>
  <si>
    <t>West Wyalong Landfill, Racecourse Road, West Wyalong, NSW 2671</t>
  </si>
  <si>
    <t>Blayney Waste Facility</t>
  </si>
  <si>
    <t>Blaxland Waste Management Facility</t>
  </si>
  <si>
    <t>Katoomba Waste Management Facility</t>
  </si>
  <si>
    <t>Nyngan Waste and Resource Management Facility</t>
  </si>
  <si>
    <t xml:space="preserve"> Bourke</t>
  </si>
  <si>
    <t>Byrock</t>
  </si>
  <si>
    <t>Enngonia</t>
  </si>
  <si>
    <t>Fords Bridge</t>
  </si>
  <si>
    <t>Louth Waste Depot</t>
  </si>
  <si>
    <t>Wanaaring Waste Depot</t>
  </si>
  <si>
    <t>Brewarrina Waste Depot</t>
  </si>
  <si>
    <t xml:space="preserve">Goodooga Waste Depot </t>
  </si>
  <si>
    <t xml:space="preserve">Angledool </t>
  </si>
  <si>
    <t>Weilmoringle</t>
  </si>
  <si>
    <t>Broken Hill Waste Management Facility, 1 Wills Street Broken Hill</t>
  </si>
  <si>
    <t>Council Operations Centre, Kingsbury Street Croydon Park</t>
  </si>
  <si>
    <t>Byron Resource Recovery Centre, 115 The Manse Rd Myocum 2482</t>
  </si>
  <si>
    <t>Canowindra - Nangar Road, Canowindra NSW 2804</t>
  </si>
  <si>
    <t>Cumnock - Baldry Road, Cumnock NSW 2867</t>
  </si>
  <si>
    <t>Eugowra - The Escort Way, Eugowra NSW 2806</t>
  </si>
  <si>
    <t>Manildra - Yellowbox Road, Manildra NSW 2865</t>
  </si>
  <si>
    <t>Camden Council Administration Building - 70 Central Ave ORAN PARK</t>
  </si>
  <si>
    <t>Camden Library - 40 John St CAMDEN 2570</t>
  </si>
  <si>
    <t>Narellan Library - Cnr Queen &amp; Elyard Sts NARELLAN 2567</t>
  </si>
  <si>
    <t xml:space="preserve">Macarthur Centre for Sustainable Living - 1 Mount Annan Dr MOUNT ANNAN 2567 </t>
  </si>
  <si>
    <t>13 collection sites - sharps, syringe etc</t>
  </si>
  <si>
    <t>Community Recycling Centre Five Dock</t>
  </si>
  <si>
    <t>Buttonderry Waste Management Facility - 850 Hue Hue Rd Jilliby</t>
  </si>
  <si>
    <t>Woy Woy Waste Management Facility -Nagari Rd Woy Woy</t>
  </si>
  <si>
    <t>Tilpa landfill</t>
  </si>
  <si>
    <t>Wilcannia landfill</t>
  </si>
  <si>
    <t>Menindee landfill</t>
  </si>
  <si>
    <t>Ivanhoe landfill</t>
  </si>
  <si>
    <t>Sunset Strip landfill</t>
  </si>
  <si>
    <t>White Cliffs landfill</t>
  </si>
  <si>
    <t>Cessnock Waste Management Centre, 1967 Old Maitland Rd, Cessnock</t>
  </si>
  <si>
    <t>Grafton Waste Transfer Station</t>
  </si>
  <si>
    <t>Maclean Waste Transfer Station</t>
  </si>
  <si>
    <t>Tyringham Waste Transfer Station</t>
  </si>
  <si>
    <t>Baryulgil Waste Transfer Station</t>
  </si>
  <si>
    <t>Glenreagh Waste Transfer Station</t>
  </si>
  <si>
    <t>Grafton Landfill</t>
  </si>
  <si>
    <t>Copmanhurst, Iluka and Mini Water Waste Transfer Stations</t>
  </si>
  <si>
    <t xml:space="preserve">Cobar Landfill </t>
  </si>
  <si>
    <t>Canbeligo Transfer Station</t>
  </si>
  <si>
    <t xml:space="preserve">Nymagee Landfill </t>
  </si>
  <si>
    <t xml:space="preserve">Euabalong Landfill </t>
  </si>
  <si>
    <t xml:space="preserve">Euabalong West Landfill </t>
  </si>
  <si>
    <t>Mount Hope</t>
  </si>
  <si>
    <t>Englands Road Waste Management Facility</t>
  </si>
  <si>
    <t>Lowanna Transfer Station</t>
  </si>
  <si>
    <t>Coramba Transfer Station</t>
  </si>
  <si>
    <t>Woolgoolga Transfer Station</t>
  </si>
  <si>
    <t>Ardlethan Landfill - Newell Highway, Ardlethan</t>
  </si>
  <si>
    <t>Coolamon Landfill - 102 Dyces Lane, Coolamon</t>
  </si>
  <si>
    <t>Ganmain Landfill - Grave Street, Ganmain</t>
  </si>
  <si>
    <t>Marrar Landfill - Easticks Lane, Coolamon</t>
  </si>
  <si>
    <t>Coonamble Landfill</t>
  </si>
  <si>
    <t>Gulargambone Transfer Station</t>
  </si>
  <si>
    <t>Cootamundra Waste Facility</t>
  </si>
  <si>
    <t>Gundagai Waste Facility</t>
  </si>
  <si>
    <t>Cowra MRF &amp; Landfill, 236 Glen Logan Rd, Cowra 2794</t>
  </si>
  <si>
    <t>Dungog Waste Management Facility</t>
  </si>
  <si>
    <t xml:space="preserve">Deniliquin Waste Disposal Depot, Hay Rd, Deniliquin NSW 2710 </t>
  </si>
  <si>
    <t>Blighty Landfill, 18744 Riverina Hwy, Blighty NSW 2710</t>
  </si>
  <si>
    <t>Booroorban Landfill, Cobb Hwy Booroorbam NSW 2710</t>
  </si>
  <si>
    <t>Conargo Landfill, Conargo Rd (McKenzie St) Conargo NSW 2710</t>
  </si>
  <si>
    <t>Pretty Pine Landfill, Pretty Pine Rd, Pretty Pine NSW 2710</t>
  </si>
  <si>
    <t>Wanganella Landfill, Wanganella Tip Rd, Wanganella NSW 2710</t>
  </si>
  <si>
    <t>Surf Beach Waste Management Facility</t>
  </si>
  <si>
    <t>Brou Waste Management Facility</t>
  </si>
  <si>
    <t>Moruya transfer Station</t>
  </si>
  <si>
    <t>Recycling Drop Off Centre</t>
  </si>
  <si>
    <t>Corowa Waste Management Centre, Riverina Highway</t>
  </si>
  <si>
    <t>Mulwala Transfer Station, Old Barooga Road</t>
  </si>
  <si>
    <t>Howlong Waste Management Centre, Goombargana Rd</t>
  </si>
  <si>
    <t>Urana Landfill, Boree Creek Road, Urana</t>
  </si>
  <si>
    <t>Oaklands Landfill, Maxwelton Road, Oaklands</t>
  </si>
  <si>
    <t>Community Recycling Centre - Corowa Depot</t>
  </si>
  <si>
    <t>Community Recycling Centre - Urana Waste Disposal</t>
  </si>
  <si>
    <t>Daroobalgie Waste Management Facility</t>
  </si>
  <si>
    <t>Bedgerabong Landfill</t>
  </si>
  <si>
    <t>Garema Landfill</t>
  </si>
  <si>
    <t>Ootha Landfill</t>
  </si>
  <si>
    <t>Household chemical cleanout</t>
  </si>
  <si>
    <t>Techwaste drop off</t>
  </si>
  <si>
    <t>Small scale recycling stations</t>
  </si>
  <si>
    <t>Gilgandra Community Recycling Centre Lot 100 Pines Drive Gilgandra NSW 2827</t>
  </si>
  <si>
    <t>Goulburn Waste Management Centre, 100 Sinclair St Goulburn</t>
  </si>
  <si>
    <t>Marulan Waste Management Centre, Wilson Dr Marulan</t>
  </si>
  <si>
    <t>Tarago Waste Management Centre, Lumley Rd Tarago</t>
  </si>
  <si>
    <t>Culcairn landfill</t>
  </si>
  <si>
    <t>Brocklesby Transfer Station</t>
  </si>
  <si>
    <t>Gerogery transfer Station</t>
  </si>
  <si>
    <t>Burrumbuttock Transfer Station</t>
  </si>
  <si>
    <t>Jindera  Transfer Station</t>
  </si>
  <si>
    <t>Holbrook</t>
  </si>
  <si>
    <t>Henty  Transfer Station</t>
  </si>
  <si>
    <t>Tharbogang Waste Transfer Station</t>
  </si>
  <si>
    <t>Yenda Waste Transfer Station</t>
  </si>
  <si>
    <t>Curlewis</t>
  </si>
  <si>
    <t>Carroll</t>
  </si>
  <si>
    <t>Mulllaley</t>
  </si>
  <si>
    <t>Tambar Springs</t>
  </si>
  <si>
    <t>Bingara Landfill 10018 Killarney Gap Road, Bingara, NSW - 2404</t>
  </si>
  <si>
    <t>Warialda Waste Resource Recovery Facility 404 Rubbish Depot, Warialda, NSW 2402</t>
  </si>
  <si>
    <t>Coolatai Landfill 4145 Warialda Road, Coolatai, NSW - 2402</t>
  </si>
  <si>
    <t>Croppa Creek Landfill 2995 Buckie Road, Croppa Creek, NSW - 2411</t>
  </si>
  <si>
    <t>Warialda Rail Landfill MR63 Bingara Road, Warialda Rail, NSW - 2402</t>
  </si>
  <si>
    <t>Upper Horton Landfill 55 Hall Street Upper Horton, NSW 2347</t>
  </si>
  <si>
    <t>Gravesend Garbage Depot Pump Station Road, Gravesend, NSW - 2401</t>
  </si>
  <si>
    <t>Hawkesbury City Waste Management Facility, 1 The Driftway, South Windsor</t>
  </si>
  <si>
    <t>Hay Shire Council Waste Transfer Station</t>
  </si>
  <si>
    <t>Victoria Street</t>
  </si>
  <si>
    <t>Red Hill</t>
  </si>
  <si>
    <t>Murrumburrah</t>
  </si>
  <si>
    <t>Transfer Stations VIllage</t>
  </si>
  <si>
    <t>Village Landfills</t>
  </si>
  <si>
    <t>CRC - 29 Sefton Road Thornleigh</t>
  </si>
  <si>
    <t>Council depot - 5 Beaumont Road, Mt Kuring-gai</t>
  </si>
  <si>
    <t>Weekend Transfer Station, 50-54 Moore Street, Leichhardt</t>
  </si>
  <si>
    <t>Community Recycling Centre, 15-17 Unwins Bridge Road, St Peters</t>
  </si>
  <si>
    <t>Inverell Landfill Burtenshaw Road Inverell</t>
  </si>
  <si>
    <t>Ashford Waste Transfer Station, Limestone Road, Ashford</t>
  </si>
  <si>
    <t>Bonshaw Waste Transfer Station, Campbells Road, Bonshaw</t>
  </si>
  <si>
    <t>Delungra Waste Transfer Station, Haymarket Road, Delungra</t>
  </si>
  <si>
    <t>Yetman Waste Transfer Station, Warialda Road, Yetman</t>
  </si>
  <si>
    <t>Tingha Landfill, Kempton Road, Tingha</t>
  </si>
  <si>
    <t xml:space="preserve">Junee Landfill Waste Facility, Lot 111 Kahmoo Lane, Junee </t>
  </si>
  <si>
    <t xml:space="preserve">Kempsey Waste Management Center </t>
  </si>
  <si>
    <t xml:space="preserve">South West Rocks Transfer Station </t>
  </si>
  <si>
    <t xml:space="preserve">Stuarts Point Transfer Station </t>
  </si>
  <si>
    <t xml:space="preserve">Bellbrook Transfer Station </t>
  </si>
  <si>
    <t>Minnamurra Waste disposal Depot</t>
  </si>
  <si>
    <t>Gordon Library Recycling Station</t>
  </si>
  <si>
    <t>Kyogle Landfill Facility</t>
  </si>
  <si>
    <t xml:space="preserve">Condobolin - 55 Boona Road Condobolin </t>
  </si>
  <si>
    <t>Lake Cargelligo - Ubba Street Condobolin</t>
  </si>
  <si>
    <t>Burcher - Burcher Road</t>
  </si>
  <si>
    <t xml:space="preserve">Tottenham - Tottenham Tip Road </t>
  </si>
  <si>
    <t xml:space="preserve">Tullibigeal - Tullibigeal Road </t>
  </si>
  <si>
    <t xml:space="preserve">Awaba Waste Management Facility </t>
  </si>
  <si>
    <t>Lismore Waste Facility</t>
  </si>
  <si>
    <t xml:space="preserve">Nimbin Transfer Station </t>
  </si>
  <si>
    <t>Lithgow, 62 Geordie Street Lithgow</t>
  </si>
  <si>
    <t>Portland, Portland Cullen Bullen Road Portland</t>
  </si>
  <si>
    <t>Wallerawang, Pipers Flat Road Wallerawang</t>
  </si>
  <si>
    <t>Capertee, Hearne Street Capertee</t>
  </si>
  <si>
    <t>Liverpool Community Recycling Centre</t>
  </si>
  <si>
    <t>Mt Vincent Rd Waste Management Centre, 109 Mt Vincent Rd, East Maitland</t>
  </si>
  <si>
    <t>MidCoast Shire</t>
  </si>
  <si>
    <t>Mudgee Waste Facility 31 Blain Road, Caerleon,</t>
  </si>
  <si>
    <t>Kandos Waste Transfer Station 110 Kandos Tip Road, Kandos</t>
  </si>
  <si>
    <t>Rural Waste Transfer Stations x13</t>
  </si>
  <si>
    <t>Moree Waste Management Facility</t>
  </si>
  <si>
    <t xml:space="preserve">Biniguy Landfill </t>
  </si>
  <si>
    <t xml:space="preserve">Boggabilla Landfill </t>
  </si>
  <si>
    <t>Boomi Landfill</t>
  </si>
  <si>
    <t xml:space="preserve">Garah Landfill </t>
  </si>
  <si>
    <t xml:space="preserve">Gurley Landfill </t>
  </si>
  <si>
    <t xml:space="preserve">Mungindi Landfill </t>
  </si>
  <si>
    <t>CRC Artarmon</t>
  </si>
  <si>
    <t>Kimbriki resource recovery centre</t>
  </si>
  <si>
    <t>Moama Waste Management facility</t>
  </si>
  <si>
    <t>Goodnight TS</t>
  </si>
  <si>
    <t>Koraleigh Landfill</t>
  </si>
  <si>
    <t>Moulamein Landfill</t>
  </si>
  <si>
    <t>Wakool Landfill</t>
  </si>
  <si>
    <t>Barham TS</t>
  </si>
  <si>
    <t>Mathoura TS</t>
  </si>
  <si>
    <t>Jerilderie Tip</t>
  </si>
  <si>
    <t>Jerilderie Common Tip</t>
  </si>
  <si>
    <t>Darlington Point Garbage Depot</t>
  </si>
  <si>
    <t>Coleambally Garbage Depot</t>
  </si>
  <si>
    <t>Muswellbrook Waste &amp; Recycling Centre</t>
  </si>
  <si>
    <t>Denman Transfer Station</t>
  </si>
  <si>
    <t>Nambucca Waste Facility</t>
  </si>
  <si>
    <t>9 shire transfer stations</t>
  </si>
  <si>
    <t>Narrandera Landfill</t>
  </si>
  <si>
    <t>Barellan Landfill</t>
  </si>
  <si>
    <t>Summerhill Waste Management Centre, 141 Minmi Road, Wallsend</t>
  </si>
  <si>
    <t xml:space="preserve">Northern Sydney Community Recycling Centre </t>
  </si>
  <si>
    <t>Manly Customer Service Centre 1 Belgrave Street Manly NSW 2095</t>
  </si>
  <si>
    <t>Mona Vale Customer Centre Village Park, 1 Park Street Mona Vale NSW 2103</t>
  </si>
  <si>
    <t>Dee Why Customer Service 725 Pittwater Road Dee Why NSW 2099</t>
  </si>
  <si>
    <t>Burraga</t>
  </si>
  <si>
    <t>Black Springs</t>
  </si>
  <si>
    <t>RRC Bins - Ophir Road Resource Recovery Centre, 261 Ophir Road Orange</t>
  </si>
  <si>
    <t>CRC - Ophir Road Resource Recovery Centre, 261 Ophir Road Orange</t>
  </si>
  <si>
    <t>Parkes Waste Facility, 104 Brolgan Rd Parkes 2870</t>
  </si>
  <si>
    <t>Peak Hill Transfer Station, Rouse Rd Peak Hill 2869</t>
  </si>
  <si>
    <t>Alectown Landfill</t>
  </si>
  <si>
    <t>Bogan Gate Landfill</t>
  </si>
  <si>
    <t>Gunningbland Landfill</t>
  </si>
  <si>
    <t>Trundle Landfill</t>
  </si>
  <si>
    <t>Tullamore Landfill</t>
  </si>
  <si>
    <t>Penrith Library 601 High Street, Penrith</t>
  </si>
  <si>
    <t>St Marys Library 207 - 209 Queen Street, St Marys</t>
  </si>
  <si>
    <t>St Clair Library Shop 12, St Clair Shopping Centre, Bennett Road and Endeavour Avenue</t>
  </si>
  <si>
    <t>Cairncross Waste Facility Transfer Area</t>
  </si>
  <si>
    <t>Wauchope Transfer Station</t>
  </si>
  <si>
    <t>Kew Transfer Station</t>
  </si>
  <si>
    <t>Port Macquarie Transfer Station</t>
  </si>
  <si>
    <t>Comboyne Transfer Station</t>
  </si>
  <si>
    <t>Salamander Bay Waste Transfer Station</t>
  </si>
  <si>
    <t>Bungendore Waste Transfer Station - Tarago Road Bungendore</t>
  </si>
  <si>
    <t>Braidwood Waste Transfer Station - Bombay Road Braidwood</t>
  </si>
  <si>
    <t>Bywong Transfer Station - Macs Reef Road</t>
  </si>
  <si>
    <t>Captains Flat - Captains Flat Rd</t>
  </si>
  <si>
    <t>Nerriga - Endrick River Road</t>
  </si>
  <si>
    <t>Waste Minimisation Centre - Lorn Road Queanbeyan</t>
  </si>
  <si>
    <t>72 Perry Street, Matraville NSW 2036</t>
  </si>
  <si>
    <t>Nammoona Waste &amp; Resource Recovery Facility 55 Dargaville Drive Casino NSW 2470</t>
  </si>
  <si>
    <t>Evans Head Transfer Station 972 Broadwater Evans Head Road Evans Head NSW 2473</t>
  </si>
  <si>
    <t xml:space="preserve">Rappville Transfer Station Carwong Rd Rappville NSW </t>
  </si>
  <si>
    <t>Dunmore Recycling and Waste Disposal Depot, 44 Buckleys Road, Dunmore</t>
  </si>
  <si>
    <t>West Nowra, 120 Flatrock Rd Mundamia</t>
  </si>
  <si>
    <t>Ulladulla, 94 Pirralea Rd Ulladulla</t>
  </si>
  <si>
    <t>Huskisson, 235 Huskisson Rd Huskisson</t>
  </si>
  <si>
    <t>Berry, 175 Agars Lane Berry</t>
  </si>
  <si>
    <t>Callala, 270 Coonemia Rd Callala</t>
  </si>
  <si>
    <t>Sussex Inlet, 40 The Springs Rd Sussex Inlet</t>
  </si>
  <si>
    <t>Kioloa, 374 Murramarang Rd Kioloa</t>
  </si>
  <si>
    <t>Singleton Waste Management Facility, 53 Dyrring Road FERN GULLY NSW</t>
  </si>
  <si>
    <t>Community Recycling Centre, 53 Dyrring Road FERN GULLY NSW</t>
  </si>
  <si>
    <t>Adaminaby Transfer Station</t>
  </si>
  <si>
    <t>Berridale Transfer Station</t>
  </si>
  <si>
    <t>Bredbo Transfer Station</t>
  </si>
  <si>
    <t>Cooma Landfill</t>
  </si>
  <si>
    <t>Bombala Landfill</t>
  </si>
  <si>
    <t>Jindabyne Landfill</t>
  </si>
  <si>
    <t>Nimmitabel Transfer Station</t>
  </si>
  <si>
    <t>Adelong</t>
  </si>
  <si>
    <t>Batlow</t>
  </si>
  <si>
    <t>Khancoban</t>
  </si>
  <si>
    <t>Talbingo</t>
  </si>
  <si>
    <t>Forest Road Landfill 123A Forest Road North Tamworth</t>
  </si>
  <si>
    <t>Barraba Landfill</t>
  </si>
  <si>
    <t>Manilla Landfill</t>
  </si>
  <si>
    <t>Nundle Landfill</t>
  </si>
  <si>
    <t>Somerton SVTS</t>
  </si>
  <si>
    <t>Kootingal SVTS</t>
  </si>
  <si>
    <t>Duri SVTS, Dungowan SVTS, Bendemeer SVTS, Niangala SVTS</t>
  </si>
  <si>
    <t>Temora Landfill Site</t>
  </si>
  <si>
    <t>Ariah Park Landfill Site</t>
  </si>
  <si>
    <t>Lions Club Recycling Depot</t>
  </si>
  <si>
    <t>Tenterfield WTS</t>
  </si>
  <si>
    <t>Liston WTS</t>
  </si>
  <si>
    <t>Legume WTS</t>
  </si>
  <si>
    <t>Drake WTS</t>
  </si>
  <si>
    <t>Urbenville WTS</t>
  </si>
  <si>
    <t>Torrington (Industrial collections) landfill closed</t>
  </si>
  <si>
    <t>Mingoola (industrial collection)</t>
  </si>
  <si>
    <t>Stotts Creek Resource Recovery Centre</t>
  </si>
  <si>
    <t>Scone WMF Noblet Rd Scone</t>
  </si>
  <si>
    <t>Aberdeen WMF Wells Gully Rd Aberdeen</t>
  </si>
  <si>
    <t>Merriwa WMF Depot Rd Merriwa</t>
  </si>
  <si>
    <t>Murrurundi WMF Halls Rd Murrurundi</t>
  </si>
  <si>
    <t>Crookwell Waste Facility</t>
  </si>
  <si>
    <t>Gunning Waste Facility</t>
  </si>
  <si>
    <t>Taralga Waste Facility</t>
  </si>
  <si>
    <t>Collector Waste Facility</t>
  </si>
  <si>
    <t>Bigga Waste Facility</t>
  </si>
  <si>
    <t>Tuena Waste Facility</t>
  </si>
  <si>
    <t>Uralla Waste Management Facility, Rowan Ave URALLA</t>
  </si>
  <si>
    <t>Bundarra Waste Management Facility, Bingara Road BUNDARRA</t>
  </si>
  <si>
    <t>Kingstown Waste Management Facility, Sawmill Lane KINGSTOWN</t>
  </si>
  <si>
    <t>Gregadoo Waste Management Centre</t>
  </si>
  <si>
    <t>Transfer stations</t>
  </si>
  <si>
    <t>Walgett waste facility</t>
  </si>
  <si>
    <t>Lightning Ridge waste facility</t>
  </si>
  <si>
    <t>Rowena Waste facility</t>
  </si>
  <si>
    <t>Burren junction waste facility</t>
  </si>
  <si>
    <t>Come-by Chance waste facility</t>
  </si>
  <si>
    <t>Collarenebri waste facility</t>
  </si>
  <si>
    <t>Carinda Waste facility</t>
  </si>
  <si>
    <t>Warrumbungle Shire Council</t>
  </si>
  <si>
    <t>Grenfell Landfill</t>
  </si>
  <si>
    <t>Quandialla Landfill</t>
  </si>
  <si>
    <t>Caragabal Landfill</t>
  </si>
  <si>
    <t>Northern Sydney Community Recycling Centre- Artarmon</t>
  </si>
  <si>
    <t>Resource Recovery Centre, 177 Berrima Road MOSS VALE</t>
  </si>
  <si>
    <t>Bargo Waste Management Centre, Anthony Road Bargo</t>
  </si>
  <si>
    <t>Revolve/CRC</t>
  </si>
  <si>
    <t>Wollongong Waste and Resource Recovery Park</t>
  </si>
  <si>
    <t>Yass transferstation</t>
  </si>
  <si>
    <t>Murrumbateman Transfer station</t>
  </si>
  <si>
    <t>Binalong transfer station</t>
  </si>
  <si>
    <t>Gundaroo transfer station</t>
  </si>
  <si>
    <t>Bookham transfer station</t>
  </si>
  <si>
    <t>bowning transfer station</t>
  </si>
  <si>
    <t>Appendix 3: Total Domestic Generation (tonnes) and Recycling Rates 2020-21</t>
  </si>
  <si>
    <t>Total Domestic Generation (tonnes) inc CDS</t>
  </si>
  <si>
    <t>based on total households regardless of service</t>
  </si>
  <si>
    <t>Total Municipal Generation (tonnes)</t>
  </si>
  <si>
    <t>Recyclables</t>
  </si>
  <si>
    <t>Organics</t>
  </si>
  <si>
    <t>Residual Waste</t>
  </si>
  <si>
    <t>Total Domestic Generation</t>
  </si>
  <si>
    <t>Total Recycled</t>
  </si>
  <si>
    <t>Total Disposed</t>
  </si>
  <si>
    <t>Recycling Rate (%)</t>
  </si>
  <si>
    <t>Total Municipal Generation</t>
  </si>
  <si>
    <t xml:space="preserve">2020-21 Collected </t>
  </si>
  <si>
    <t>2020-21 Recycled</t>
  </si>
  <si>
    <t>2020-21 Disposed</t>
  </si>
  <si>
    <t xml:space="preserve">2020-21  Collected </t>
  </si>
  <si>
    <t>Kg per Capita /wk</t>
  </si>
  <si>
    <t>Kg per HH/wk</t>
  </si>
  <si>
    <t>Recycling Rate
(%)</t>
  </si>
  <si>
    <t>Tonnes Collected of Dry Recycling</t>
  </si>
  <si>
    <t>Dry Recycling of Total Waste (%)</t>
  </si>
  <si>
    <t>Tonnes Collected of Organics</t>
  </si>
  <si>
    <t>Organics of Total Waste
(%)</t>
  </si>
  <si>
    <t>Tonnes Collected of Residual Waste</t>
  </si>
  <si>
    <t>Residual Waste of Total Waste
(%)</t>
  </si>
  <si>
    <t xml:space="preserve">2019-20 Collected </t>
  </si>
  <si>
    <t>2019-20 Recycled</t>
  </si>
  <si>
    <t>2019-20 Disposed</t>
  </si>
  <si>
    <t xml:space="preserve">2019-20  Collected </t>
  </si>
  <si>
    <t>Totals</t>
  </si>
  <si>
    <t>2019-20</t>
  </si>
  <si>
    <t>2018-19</t>
  </si>
  <si>
    <t>2017-18</t>
  </si>
  <si>
    <t>2016-17</t>
  </si>
  <si>
    <t>2015-16</t>
  </si>
  <si>
    <t>2014-15</t>
  </si>
  <si>
    <t>2013-14</t>
  </si>
  <si>
    <t>2012-13</t>
  </si>
  <si>
    <t>2011-12</t>
  </si>
  <si>
    <t>Appendix 4: Total Domestic Recyclable Generation 2020-21</t>
  </si>
  <si>
    <t>Kerbside Recycling Bin</t>
  </si>
  <si>
    <t>CDS Recycling</t>
  </si>
  <si>
    <t>Drop off Recycling</t>
  </si>
  <si>
    <t>Cleanup Recycling</t>
  </si>
  <si>
    <t>Total Recycling</t>
  </si>
  <si>
    <t>Other Council Recycling</t>
  </si>
  <si>
    <t>Kerbside + CDS</t>
  </si>
  <si>
    <t>tonnes collected</t>
  </si>
  <si>
    <t>tonnes recycled</t>
  </si>
  <si>
    <t>tonnes disposed</t>
  </si>
  <si>
    <t>Paper</t>
  </si>
  <si>
    <t>Cardboard</t>
  </si>
  <si>
    <t>LPB cartons</t>
  </si>
  <si>
    <t>Glass</t>
  </si>
  <si>
    <t>Al Cans</t>
  </si>
  <si>
    <t>Steel Cans</t>
  </si>
  <si>
    <t>Plastics 1-3 (PET,HDPE,PVC)</t>
  </si>
  <si>
    <t>Plastics 4 (LDPE)</t>
  </si>
  <si>
    <t>Plastics 5 (PP)</t>
  </si>
  <si>
    <t>Plastics 6 (PS)</t>
  </si>
  <si>
    <t>Plastics 7 (Other)</t>
  </si>
  <si>
    <t>Hard Plastics (plant pots)</t>
  </si>
  <si>
    <t>Soft Plastics (Film, wrapping, bags)</t>
  </si>
  <si>
    <t>Batteries</t>
  </si>
  <si>
    <t>Electrical Items</t>
  </si>
  <si>
    <t>Textiles</t>
  </si>
  <si>
    <t>Other</t>
  </si>
  <si>
    <t>Comments</t>
  </si>
  <si>
    <t>Appendix 9: Alternative Waste Treatment (AWT) 2020-21</t>
  </si>
  <si>
    <t>Regional Area</t>
  </si>
  <si>
    <t>Kerbside 'Waste</t>
  </si>
  <si>
    <t>Alternative Waste Treatment (AWT)</t>
  </si>
  <si>
    <t>Collected</t>
  </si>
  <si>
    <t>Recovered</t>
  </si>
  <si>
    <t>Disposed</t>
  </si>
  <si>
    <t>Sent</t>
  </si>
  <si>
    <t>% Recovered</t>
  </si>
  <si>
    <t>Veolia Woodlawn</t>
  </si>
  <si>
    <t>Woodlawn</t>
  </si>
  <si>
    <t xml:space="preserve">Biomass solutions </t>
  </si>
  <si>
    <t>Englands Rd Coffs Harbour</t>
  </si>
  <si>
    <t>SUEZ</t>
  </si>
  <si>
    <t>SUEZ SAWT &amp; UR3R</t>
  </si>
  <si>
    <t>Clyde Woodlawn</t>
  </si>
  <si>
    <t>Spring Farm Resource Recovery Park</t>
  </si>
  <si>
    <t>20 Barrow Road, Spring Farm</t>
  </si>
  <si>
    <t>Biomass Solutions</t>
  </si>
  <si>
    <t>31 Englands Road, North Boambee Valley</t>
  </si>
  <si>
    <t>Eastern Creek</t>
  </si>
  <si>
    <t>Suez Belrose - GRL</t>
  </si>
  <si>
    <t>Crozier Rd, Belrose</t>
  </si>
  <si>
    <t>Suez</t>
  </si>
  <si>
    <t>KEMPS CREEK</t>
  </si>
  <si>
    <t>Newline Road Raymond Terrace</t>
  </si>
  <si>
    <t>SAWT</t>
  </si>
  <si>
    <t>Badgerys Creek</t>
  </si>
  <si>
    <t>619 Collector Rd, Tarago NSW</t>
  </si>
  <si>
    <t>275 Richardson Road, Spring Farm</t>
  </si>
  <si>
    <t>619 collector rd Tarago</t>
  </si>
  <si>
    <t>Kerbside Recycling Materials accepted in Yellow Lid Bin</t>
  </si>
  <si>
    <t>R19_1</t>
  </si>
  <si>
    <t>R19_2</t>
  </si>
  <si>
    <t>R19_3</t>
  </si>
  <si>
    <t>R19_4</t>
  </si>
  <si>
    <t>R19_5</t>
  </si>
  <si>
    <t>R19_6</t>
  </si>
  <si>
    <t>R19_7</t>
  </si>
  <si>
    <t>R19_8</t>
  </si>
  <si>
    <t>R19_9</t>
  </si>
  <si>
    <t>R19_10</t>
  </si>
  <si>
    <t>R19_11</t>
  </si>
  <si>
    <t>R19_12</t>
  </si>
  <si>
    <t>R19_13</t>
  </si>
  <si>
    <t>R19_14</t>
  </si>
  <si>
    <t>R19_15</t>
  </si>
  <si>
    <t>R19_16</t>
  </si>
  <si>
    <t>R19_17</t>
  </si>
  <si>
    <t>R19_17_1</t>
  </si>
  <si>
    <t>Alumininium foil; plastic film</t>
  </si>
  <si>
    <t>balled aluminium foil</t>
  </si>
  <si>
    <t>Clean Foil balls with a diameter greater than 5cm</t>
  </si>
  <si>
    <t>Ridgid Plastic Containers</t>
  </si>
  <si>
    <t>Note Plastic 6 Polystyrene is ONLY hard poly and not expanded or foam poly</t>
  </si>
  <si>
    <t>TOTAL</t>
  </si>
  <si>
    <t>Appendix 8: Predominant Bin Size and Collection Frequency 2020-21</t>
  </si>
  <si>
    <t>Dry Recycling</t>
  </si>
  <si>
    <t>Garden Organics</t>
  </si>
  <si>
    <t>FOGO</t>
  </si>
  <si>
    <t>Predominant BIN Size</t>
  </si>
  <si>
    <t>Frequency</t>
  </si>
  <si>
    <t>Kg/hh/wk</t>
  </si>
  <si>
    <t>kg/hh/wk</t>
  </si>
  <si>
    <t>kg/hh/wk Organics</t>
  </si>
  <si>
    <t>kg/hh/wk FOGO</t>
  </si>
  <si>
    <t>Total KG/hh/wk</t>
  </si>
  <si>
    <t>Bin System</t>
  </si>
  <si>
    <t>140L</t>
  </si>
  <si>
    <t>F/N</t>
  </si>
  <si>
    <t>240L</t>
  </si>
  <si>
    <t>Weekly</t>
  </si>
  <si>
    <t>Crete</t>
  </si>
  <si>
    <t>120L</t>
  </si>
  <si>
    <t>360L</t>
  </si>
  <si>
    <t>80L</t>
  </si>
  <si>
    <t>240 Split</t>
  </si>
  <si>
    <t>240L Split (W/Rec)</t>
  </si>
  <si>
    <t>Monthly</t>
  </si>
  <si>
    <t>55L</t>
  </si>
  <si>
    <t>Average NSW</t>
  </si>
  <si>
    <t>Red</t>
  </si>
  <si>
    <t>Ave kg/wk</t>
  </si>
  <si>
    <t>Yellow</t>
  </si>
  <si>
    <t>GO</t>
  </si>
  <si>
    <t>No. LGA</t>
  </si>
  <si>
    <t>Ave Rec %</t>
  </si>
  <si>
    <t>Forthnightly</t>
  </si>
  <si>
    <t>Red/Yellow</t>
  </si>
  <si>
    <t>Red/Yellow/Green</t>
  </si>
  <si>
    <t>Red/Yellow/FOGO</t>
  </si>
  <si>
    <t>Red/Yellow/Green/FOGO</t>
  </si>
  <si>
    <t>kg/week</t>
  </si>
  <si>
    <t>Appendix 7: Weekly Kerbside Household and Per Capita Generation 2020-21</t>
  </si>
  <si>
    <t>Red Lid Bin</t>
  </si>
  <si>
    <t>Yellow Lid Bin</t>
  </si>
  <si>
    <t>Green Lid Bin</t>
  </si>
  <si>
    <t>Households with</t>
  </si>
  <si>
    <t>Population with</t>
  </si>
  <si>
    <t>Residual Waste Service</t>
  </si>
  <si>
    <t>Dry Recycling Service</t>
  </si>
  <si>
    <t>Garden Organics Service</t>
  </si>
  <si>
    <t>FOGO Service</t>
  </si>
  <si>
    <t>Kerbside Tonnes Collected</t>
  </si>
  <si>
    <r>
      <t xml:space="preserve">Per Household
</t>
    </r>
    <r>
      <rPr>
        <b/>
        <sz val="8"/>
        <rFont val="Arial"/>
        <family val="2"/>
      </rPr>
      <t>kg/hh/wk</t>
    </r>
  </si>
  <si>
    <r>
      <t xml:space="preserve">Per Capita
</t>
    </r>
    <r>
      <rPr>
        <b/>
        <sz val="8"/>
        <rFont val="Arial"/>
        <family val="2"/>
      </rPr>
      <t>kg/ca/wk</t>
    </r>
  </si>
  <si>
    <t>AWT</t>
  </si>
  <si>
    <r>
      <t xml:space="preserve">Kerbside </t>
    </r>
    <r>
      <rPr>
        <b/>
        <sz val="8"/>
        <rFont val="Arial"/>
        <family val="2"/>
      </rPr>
      <t xml:space="preserve">Garden Organics </t>
    </r>
    <r>
      <rPr>
        <sz val="8"/>
        <rFont val="Arial"/>
        <family val="2"/>
      </rPr>
      <t>Tonnes Collected</t>
    </r>
  </si>
  <si>
    <r>
      <t xml:space="preserve">Kerbside </t>
    </r>
    <r>
      <rPr>
        <b/>
        <sz val="8"/>
        <rFont val="Arial"/>
        <family val="2"/>
      </rPr>
      <t>FOGO</t>
    </r>
    <r>
      <rPr>
        <sz val="8"/>
        <rFont val="Arial"/>
        <family val="2"/>
      </rPr>
      <t xml:space="preserve"> Tonnes Collected</t>
    </r>
  </si>
  <si>
    <t>Total Number  Hh in LGA</t>
  </si>
  <si>
    <t>Household Numbers</t>
  </si>
  <si>
    <t>No GO</t>
  </si>
  <si>
    <t>Population
ABS
(30 June 16)</t>
  </si>
  <si>
    <t>LGA Population with service</t>
  </si>
  <si>
    <t>GO + FOGO Households</t>
  </si>
  <si>
    <t>GO + FOGO POP</t>
  </si>
  <si>
    <t>GO + FOGO tonnes</t>
  </si>
  <si>
    <t>NF</t>
  </si>
  <si>
    <t>GO+FOGO</t>
  </si>
  <si>
    <t>NSW Average kg/wk</t>
  </si>
  <si>
    <t>Appendix 6: Total Domestic Residual Waste Generation and Disposal 2020-21</t>
  </si>
  <si>
    <t>Kerbside Waste Bin</t>
  </si>
  <si>
    <t>Kerbside</t>
  </si>
  <si>
    <t>Drop Off</t>
  </si>
  <si>
    <t>Clean Up</t>
  </si>
  <si>
    <t>Total Disposed to Landfill</t>
  </si>
  <si>
    <t>Total Waste</t>
  </si>
  <si>
    <t>Other Council Waste</t>
  </si>
  <si>
    <t>Reg Groups</t>
  </si>
  <si>
    <t>Recovered (AWT)</t>
  </si>
  <si>
    <t>Recycling Bin Disposed</t>
  </si>
  <si>
    <t>Organics Bin Disposed</t>
  </si>
  <si>
    <t>Recycling Disposed</t>
  </si>
  <si>
    <t>Organics Disposed</t>
  </si>
  <si>
    <t>Waste Collected</t>
  </si>
  <si>
    <t>Waste Recycled</t>
  </si>
  <si>
    <t>Waste Disposed</t>
  </si>
  <si>
    <t>Recycled</t>
  </si>
  <si>
    <t>Recycling  Disposed</t>
  </si>
  <si>
    <t>C/Up</t>
  </si>
  <si>
    <t>published</t>
  </si>
  <si>
    <t>Appendix 5: Total Domestic Organics Generation 2020-21</t>
  </si>
  <si>
    <t>Kerbside Organics Bin</t>
  </si>
  <si>
    <t>Kerbside FOGO Organics</t>
  </si>
  <si>
    <t>Drop off Organics</t>
  </si>
  <si>
    <t>Cleanup Organics</t>
  </si>
  <si>
    <t>Total Domestic Organics</t>
  </si>
  <si>
    <t>Other Council Garden Organics</t>
  </si>
  <si>
    <t>GO + FOGO Collected</t>
  </si>
  <si>
    <t>GO + FOGO Recycled</t>
  </si>
  <si>
    <t>GO + FOGO Disposed</t>
  </si>
  <si>
    <t>http://www.bom.gov.au/cgi-bin/climate/change/timeseries.cgi?graph=rain&amp;area=nsw&amp;season=0706&amp;ave_yr=5</t>
  </si>
  <si>
    <t>Appendix 2: Total Domestic Generation, Recycling Rates and Averages 2020-21</t>
  </si>
  <si>
    <t>Total Domestic Generation and Recycling Rates inc. CDS</t>
  </si>
  <si>
    <t>Household and Population Figures</t>
  </si>
  <si>
    <t>Rest of State</t>
  </si>
  <si>
    <t>Stream</t>
  </si>
  <si>
    <t>Population</t>
  </si>
  <si>
    <t>Residual</t>
  </si>
  <si>
    <t>Recycling</t>
  </si>
  <si>
    <t>Household</t>
  </si>
  <si>
    <t>HH with waste service</t>
  </si>
  <si>
    <t>Total Domestic Generation and Averages</t>
  </si>
  <si>
    <t>Recyclables Collected</t>
  </si>
  <si>
    <t>Total Recyclables</t>
  </si>
  <si>
    <t>kg/capita/yr</t>
  </si>
  <si>
    <t>kg/capita/wk</t>
  </si>
  <si>
    <t>kg/hh/yr</t>
  </si>
  <si>
    <t>Organics Collected</t>
  </si>
  <si>
    <t>Total Generation</t>
  </si>
  <si>
    <t>Total Organics</t>
  </si>
  <si>
    <t>Total Municipal Generation and Recycling Rates</t>
  </si>
  <si>
    <t>Total Recyclables Collected</t>
  </si>
  <si>
    <t>Residual Waste Collected</t>
  </si>
  <si>
    <t>Total Residual Waste</t>
  </si>
  <si>
    <t>0.12 million tonnes</t>
  </si>
  <si>
    <t>https://returnandearn.org.au/</t>
  </si>
  <si>
    <t>https://twitter.com/NSWGovCDS</t>
  </si>
  <si>
    <t>Domestic Generation</t>
  </si>
  <si>
    <t xml:space="preserve">Other </t>
  </si>
  <si>
    <t>CDS</t>
  </si>
  <si>
    <t>Other Council GO</t>
  </si>
  <si>
    <t>Other Generation</t>
  </si>
  <si>
    <t>Domestic</t>
  </si>
  <si>
    <t>Other Council</t>
  </si>
  <si>
    <t>capita</t>
  </si>
  <si>
    <t>household</t>
  </si>
  <si>
    <t xml:space="preserve">2020-21 </t>
  </si>
  <si>
    <t>kg/ca/wk</t>
  </si>
  <si>
    <t>kg/hh/week</t>
  </si>
  <si>
    <t>tonnes</t>
  </si>
  <si>
    <t>NSW Ave</t>
  </si>
  <si>
    <t>Kerbside Bin Recycling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</si>
</sst>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0.0"/>
    <numFmt numFmtId="168" formatCode="#,##0.00_ ;\-#,##0.00\ "/>
    <numFmt numFmtId="169" formatCode="_-* #,##0.000_-;\-* #,##0.000_-;_-* &quot;-&quot;??_-;_-@_-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8"/>
      <color indexed="6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12"/>
      <name val="Arial"/>
      <family val="2"/>
    </font>
    <font>
      <i/>
      <sz val="8"/>
      <color indexed="17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12"/>
      <color indexed="60"/>
      <name val="Arial"/>
      <family val="2"/>
    </font>
    <font>
      <b/>
      <i/>
      <sz val="9"/>
      <name val="Calibri"/>
      <family val="2"/>
      <scheme val="minor"/>
    </font>
    <font>
      <i/>
      <sz val="9"/>
      <name val="Arial"/>
      <family val="2"/>
    </font>
    <font>
      <i/>
      <sz val="8"/>
      <name val="Arial"/>
      <family val="2"/>
    </font>
    <font>
      <b/>
      <sz val="8"/>
      <color indexed="60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indexed="10"/>
      <name val="Arial"/>
      <family val="2"/>
    </font>
    <font>
      <b/>
      <sz val="8"/>
      <color rgb="FFC00000"/>
      <name val="Arial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i/>
      <sz val="8"/>
      <color rgb="FF0070C0"/>
      <name val="Arial"/>
      <family val="2"/>
    </font>
    <font>
      <i/>
      <sz val="7"/>
      <name val="Arial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i/>
      <sz val="9"/>
      <color indexed="8"/>
      <name val="Calibri"/>
      <family val="2"/>
    </font>
    <font>
      <b/>
      <sz val="9"/>
      <color indexed="57"/>
      <name val="Calibri"/>
      <family val="2"/>
    </font>
    <font>
      <sz val="9"/>
      <color indexed="49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9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9"/>
      </top>
      <bottom style="thin">
        <color theme="0" tint="-4.9989318521683403E-2"/>
      </bottom>
      <diagonal/>
    </border>
    <border>
      <left/>
      <right/>
      <top style="thin">
        <color indexed="9"/>
      </top>
      <bottom style="thin">
        <color theme="0" tint="-4.9989318521683403E-2"/>
      </bottom>
      <diagonal/>
    </border>
    <border>
      <left/>
      <right style="thin">
        <color indexed="9"/>
      </right>
      <top style="thin">
        <color indexed="9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/>
      <bottom/>
      <diagonal/>
    </border>
    <border>
      <left/>
      <right/>
      <top/>
      <bottom style="thin">
        <color indexed="55"/>
      </bottom>
      <diagonal/>
    </border>
  </borders>
  <cellStyleXfs count="2986">
    <xf numFmtId="0" fontId="0" fillId="0" borderId="0"/>
    <xf numFmtId="43" fontId="2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4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4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26" fillId="46" borderId="0" applyNumberFormat="0" applyBorder="0" applyAlignment="0" applyProtection="0"/>
    <xf numFmtId="0" fontId="18" fillId="16" borderId="0" applyNumberFormat="0" applyBorder="0" applyAlignment="0" applyProtection="0"/>
    <xf numFmtId="0" fontId="26" fillId="43" borderId="0" applyNumberFormat="0" applyBorder="0" applyAlignment="0" applyProtection="0"/>
    <xf numFmtId="0" fontId="18" fillId="20" borderId="0" applyNumberFormat="0" applyBorder="0" applyAlignment="0" applyProtection="0"/>
    <xf numFmtId="0" fontId="26" fillId="44" borderId="0" applyNumberFormat="0" applyBorder="0" applyAlignment="0" applyProtection="0"/>
    <xf numFmtId="0" fontId="18" fillId="24" borderId="0" applyNumberFormat="0" applyBorder="0" applyAlignment="0" applyProtection="0"/>
    <xf numFmtId="0" fontId="26" fillId="47" borderId="0" applyNumberFormat="0" applyBorder="0" applyAlignment="0" applyProtection="0"/>
    <xf numFmtId="0" fontId="18" fillId="28" borderId="0" applyNumberFormat="0" applyBorder="0" applyAlignment="0" applyProtection="0"/>
    <xf numFmtId="0" fontId="26" fillId="48" borderId="0" applyNumberFormat="0" applyBorder="0" applyAlignment="0" applyProtection="0"/>
    <xf numFmtId="0" fontId="18" fillId="32" borderId="0" applyNumberFormat="0" applyBorder="0" applyAlignment="0" applyProtection="0"/>
    <xf numFmtId="0" fontId="26" fillId="49" borderId="0" applyNumberFormat="0" applyBorder="0" applyAlignment="0" applyProtection="0"/>
    <xf numFmtId="0" fontId="18" fillId="9" borderId="0" applyNumberFormat="0" applyBorder="0" applyAlignment="0" applyProtection="0"/>
    <xf numFmtId="0" fontId="26" fillId="50" borderId="0" applyNumberFormat="0" applyBorder="0" applyAlignment="0" applyProtection="0"/>
    <xf numFmtId="0" fontId="18" fillId="13" borderId="0" applyNumberFormat="0" applyBorder="0" applyAlignment="0" applyProtection="0"/>
    <xf numFmtId="0" fontId="26" fillId="51" borderId="0" applyNumberFormat="0" applyBorder="0" applyAlignment="0" applyProtection="0"/>
    <xf numFmtId="0" fontId="18" fillId="17" borderId="0" applyNumberFormat="0" applyBorder="0" applyAlignment="0" applyProtection="0"/>
    <xf numFmtId="0" fontId="26" fillId="52" borderId="0" applyNumberFormat="0" applyBorder="0" applyAlignment="0" applyProtection="0"/>
    <xf numFmtId="0" fontId="18" fillId="21" borderId="0" applyNumberFormat="0" applyBorder="0" applyAlignment="0" applyProtection="0"/>
    <xf numFmtId="0" fontId="26" fillId="47" borderId="0" applyNumberFormat="0" applyBorder="0" applyAlignment="0" applyProtection="0"/>
    <xf numFmtId="0" fontId="18" fillId="25" borderId="0" applyNumberFormat="0" applyBorder="0" applyAlignment="0" applyProtection="0"/>
    <xf numFmtId="0" fontId="26" fillId="48" borderId="0" applyNumberFormat="0" applyBorder="0" applyAlignment="0" applyProtection="0"/>
    <xf numFmtId="0" fontId="18" fillId="29" borderId="0" applyNumberFormat="0" applyBorder="0" applyAlignment="0" applyProtection="0"/>
    <xf numFmtId="0" fontId="26" fillId="53" borderId="0" applyNumberFormat="0" applyBorder="0" applyAlignment="0" applyProtection="0"/>
    <xf numFmtId="0" fontId="8" fillId="3" borderId="0" applyNumberFormat="0" applyBorder="0" applyAlignment="0" applyProtection="0"/>
    <xf numFmtId="0" fontId="27" fillId="37" borderId="0" applyNumberFormat="0" applyBorder="0" applyAlignment="0" applyProtection="0"/>
    <xf numFmtId="0" fontId="12" fillId="6" borderId="4" applyNumberFormat="0" applyAlignment="0" applyProtection="0"/>
    <xf numFmtId="0" fontId="28" fillId="54" borderId="14" applyNumberFormat="0" applyAlignment="0" applyProtection="0"/>
    <xf numFmtId="0" fontId="14" fillId="7" borderId="7" applyNumberFormat="0" applyAlignment="0" applyProtection="0"/>
    <xf numFmtId="0" fontId="29" fillId="55" borderId="15" applyNumberFormat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1" fillId="38" borderId="0" applyNumberFormat="0" applyBorder="0" applyAlignment="0" applyProtection="0"/>
    <xf numFmtId="0" fontId="4" fillId="0" borderId="1" applyNumberFormat="0" applyFill="0" applyAlignment="0" applyProtection="0"/>
    <xf numFmtId="0" fontId="32" fillId="0" borderId="16" applyNumberFormat="0" applyFill="0" applyAlignment="0" applyProtection="0"/>
    <xf numFmtId="0" fontId="5" fillId="0" borderId="2" applyNumberFormat="0" applyFill="0" applyAlignment="0" applyProtection="0"/>
    <xf numFmtId="0" fontId="33" fillId="0" borderId="17" applyNumberFormat="0" applyFill="0" applyAlignment="0" applyProtection="0"/>
    <xf numFmtId="0" fontId="6" fillId="0" borderId="3" applyNumberFormat="0" applyFill="0" applyAlignment="0" applyProtection="0"/>
    <xf numFmtId="0" fontId="34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35" fillId="41" borderId="14" applyNumberFormat="0" applyAlignment="0" applyProtection="0"/>
    <xf numFmtId="0" fontId="13" fillId="0" borderId="6" applyNumberFormat="0" applyFill="0" applyAlignment="0" applyProtection="0"/>
    <xf numFmtId="0" fontId="36" fillId="0" borderId="19" applyNumberFormat="0" applyFill="0" applyAlignment="0" applyProtection="0"/>
    <xf numFmtId="0" fontId="9" fillId="4" borderId="0" applyNumberFormat="0" applyBorder="0" applyAlignment="0" applyProtection="0"/>
    <xf numFmtId="0" fontId="37" fillId="56" borderId="0" applyNumberFormat="0" applyBorder="0" applyAlignment="0" applyProtection="0"/>
    <xf numFmtId="0" fontId="21" fillId="0" borderId="0"/>
    <xf numFmtId="0" fontId="21" fillId="0" borderId="0"/>
    <xf numFmtId="0" fontId="38" fillId="0" borderId="0"/>
    <xf numFmtId="0" fontId="22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1" fillId="57" borderId="11" applyNumberFormat="0" applyFont="0" applyAlignment="0" applyProtection="0"/>
    <xf numFmtId="0" fontId="11" fillId="6" borderId="5" applyNumberFormat="0" applyAlignment="0" applyProtection="0"/>
    <xf numFmtId="0" fontId="39" fillId="54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1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4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0" fontId="22" fillId="0" borderId="0"/>
  </cellStyleXfs>
  <cellXfs count="721">
    <xf numFmtId="0" fontId="0" fillId="0" borderId="0" xfId="0"/>
    <xf numFmtId="164" fontId="22" fillId="0" borderId="22" xfId="2979" applyNumberFormat="1" applyFont="1" applyFill="1" applyBorder="1" applyAlignment="1"/>
    <xf numFmtId="0" fontId="22" fillId="0" borderId="0" xfId="0" applyFont="1"/>
    <xf numFmtId="3" fontId="20" fillId="33" borderId="12" xfId="0" applyNumberFormat="1" applyFont="1" applyFill="1" applyBorder="1" applyAlignment="1">
      <alignment horizontal="center" textRotation="90" wrapText="1"/>
    </xf>
    <xf numFmtId="164" fontId="22" fillId="0" borderId="0" xfId="0" applyNumberFormat="1" applyFont="1"/>
    <xf numFmtId="0" fontId="0" fillId="0" borderId="0" xfId="0" applyAlignment="1">
      <alignment horizontal="center"/>
    </xf>
    <xf numFmtId="0" fontId="22" fillId="59" borderId="0" xfId="0" applyFont="1" applyFill="1"/>
    <xf numFmtId="0" fontId="20" fillId="0" borderId="27" xfId="0" applyFont="1" applyBorder="1" applyAlignment="1">
      <alignment horizontal="center" wrapText="1"/>
    </xf>
    <xf numFmtId="0" fontId="22" fillId="33" borderId="28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164" fontId="22" fillId="35" borderId="28" xfId="1" applyNumberFormat="1" applyFont="1" applyFill="1" applyBorder="1" applyAlignment="1">
      <alignment horizontal="center"/>
    </xf>
    <xf numFmtId="1" fontId="22" fillId="33" borderId="30" xfId="0" applyNumberFormat="1" applyFont="1" applyFill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164" fontId="22" fillId="35" borderId="30" xfId="1" applyNumberFormat="1" applyFont="1" applyFill="1" applyBorder="1" applyAlignment="1">
      <alignment horizontal="center"/>
    </xf>
    <xf numFmtId="0" fontId="22" fillId="33" borderId="28" xfId="0" applyFont="1" applyFill="1" applyBorder="1" applyAlignment="1">
      <alignment horizontal="right"/>
    </xf>
    <xf numFmtId="164" fontId="20" fillId="35" borderId="28" xfId="1" applyNumberFormat="1" applyFont="1" applyFill="1" applyBorder="1" applyAlignment="1">
      <alignment horizontal="center"/>
    </xf>
    <xf numFmtId="0" fontId="22" fillId="33" borderId="32" xfId="0" applyFont="1" applyFill="1" applyBorder="1" applyAlignment="1">
      <alignment horizontal="center"/>
    </xf>
    <xf numFmtId="0" fontId="22" fillId="33" borderId="32" xfId="0" applyFont="1" applyFill="1" applyBorder="1" applyAlignment="1">
      <alignment horizontal="right"/>
    </xf>
    <xf numFmtId="164" fontId="22" fillId="35" borderId="32" xfId="1" applyNumberFormat="1" applyFont="1" applyFill="1" applyBorder="1" applyAlignment="1">
      <alignment horizontal="center"/>
    </xf>
    <xf numFmtId="3" fontId="22" fillId="0" borderId="0" xfId="0" applyNumberFormat="1" applyFont="1"/>
    <xf numFmtId="1" fontId="22" fillId="33" borderId="30" xfId="0" applyNumberFormat="1" applyFont="1" applyFill="1" applyBorder="1" applyAlignment="1">
      <alignment horizontal="right"/>
    </xf>
    <xf numFmtId="0" fontId="48" fillId="0" borderId="0" xfId="0" applyFont="1"/>
    <xf numFmtId="0" fontId="49" fillId="0" borderId="0" xfId="0" applyFont="1"/>
    <xf numFmtId="164" fontId="0" fillId="0" borderId="0" xfId="1" applyNumberFormat="1" applyFont="1"/>
    <xf numFmtId="3" fontId="22" fillId="0" borderId="0" xfId="0" applyNumberFormat="1" applyFont="1" applyAlignment="1">
      <alignment horizontal="center"/>
    </xf>
    <xf numFmtId="3" fontId="20" fillId="33" borderId="33" xfId="0" applyNumberFormat="1" applyFont="1" applyFill="1" applyBorder="1" applyAlignment="1">
      <alignment horizontal="center"/>
    </xf>
    <xf numFmtId="3" fontId="20" fillId="33" borderId="34" xfId="0" applyNumberFormat="1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3" fontId="20" fillId="33" borderId="35" xfId="0" applyNumberFormat="1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0" applyNumberFormat="1" applyFont="1"/>
    <xf numFmtId="3" fontId="20" fillId="33" borderId="26" xfId="0" applyNumberFormat="1" applyFont="1" applyFill="1" applyBorder="1" applyAlignment="1">
      <alignment horizontal="center" textRotation="90" wrapText="1"/>
    </xf>
    <xf numFmtId="3" fontId="20" fillId="33" borderId="26" xfId="0" applyNumberFormat="1" applyFont="1" applyFill="1" applyBorder="1" applyAlignment="1">
      <alignment horizontal="center"/>
    </xf>
    <xf numFmtId="3" fontId="20" fillId="33" borderId="26" xfId="0" applyNumberFormat="1" applyFont="1" applyFill="1" applyBorder="1" applyAlignment="1">
      <alignment horizontal="center" textRotation="90"/>
    </xf>
    <xf numFmtId="0" fontId="20" fillId="62" borderId="23" xfId="0" applyFont="1" applyFill="1" applyBorder="1" applyAlignment="1">
      <alignment horizontal="center" vertical="center" wrapText="1"/>
    </xf>
    <xf numFmtId="164" fontId="22" fillId="0" borderId="24" xfId="1" applyNumberFormat="1" applyFont="1" applyFill="1" applyBorder="1" applyAlignment="1" applyProtection="1">
      <alignment horizontal="right" wrapText="1"/>
    </xf>
    <xf numFmtId="0" fontId="51" fillId="63" borderId="0" xfId="0" applyFont="1" applyFill="1"/>
    <xf numFmtId="3" fontId="20" fillId="33" borderId="36" xfId="0" applyNumberFormat="1" applyFont="1" applyFill="1" applyBorder="1" applyAlignment="1">
      <alignment horizontal="center"/>
    </xf>
    <xf numFmtId="0" fontId="43" fillId="33" borderId="10" xfId="2470" applyFont="1" applyFill="1" applyBorder="1" applyAlignment="1">
      <alignment wrapText="1"/>
    </xf>
    <xf numFmtId="3" fontId="20" fillId="33" borderId="38" xfId="0" applyNumberFormat="1" applyFont="1" applyFill="1" applyBorder="1" applyAlignment="1">
      <alignment horizontal="center"/>
    </xf>
    <xf numFmtId="3" fontId="20" fillId="33" borderId="39" xfId="2506" quotePrefix="1" applyNumberFormat="1" applyFont="1" applyFill="1" applyBorder="1" applyAlignment="1">
      <alignment horizontal="center" wrapText="1"/>
    </xf>
    <xf numFmtId="3" fontId="20" fillId="33" borderId="25" xfId="2506" quotePrefix="1" applyNumberFormat="1" applyFont="1" applyFill="1" applyBorder="1" applyAlignment="1">
      <alignment horizontal="center" wrapText="1"/>
    </xf>
    <xf numFmtId="3" fontId="50" fillId="33" borderId="34" xfId="2983" applyNumberFormat="1" applyFill="1" applyBorder="1" applyAlignment="1" applyProtection="1">
      <alignment horizontal="center"/>
    </xf>
    <xf numFmtId="164" fontId="22" fillId="35" borderId="30" xfId="1" applyNumberFormat="1" applyFont="1" applyFill="1" applyBorder="1" applyAlignment="1"/>
    <xf numFmtId="164" fontId="20" fillId="35" borderId="28" xfId="1" applyNumberFormat="1" applyFont="1" applyFill="1" applyBorder="1" applyAlignment="1"/>
    <xf numFmtId="164" fontId="22" fillId="35" borderId="28" xfId="1" applyNumberFormat="1" applyFont="1" applyFill="1" applyBorder="1" applyAlignment="1"/>
    <xf numFmtId="164" fontId="22" fillId="35" borderId="32" xfId="1" applyNumberFormat="1" applyFont="1" applyFill="1" applyBorder="1" applyAlignment="1"/>
    <xf numFmtId="0" fontId="50" fillId="0" borderId="0" xfId="2983" applyBorder="1" applyAlignment="1" applyProtection="1">
      <alignment horizontal="right"/>
    </xf>
    <xf numFmtId="3" fontId="20" fillId="33" borderId="25" xfId="2506" quotePrefix="1" applyNumberFormat="1" applyFont="1" applyFill="1" applyBorder="1" applyAlignment="1">
      <alignment horizontal="center"/>
    </xf>
    <xf numFmtId="3" fontId="20" fillId="33" borderId="39" xfId="2506" quotePrefix="1" applyNumberFormat="1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3" fontId="22" fillId="60" borderId="0" xfId="0" applyNumberFormat="1" applyFont="1" applyFill="1" applyAlignment="1">
      <alignment horizontal="center"/>
    </xf>
    <xf numFmtId="164" fontId="20" fillId="0" borderId="0" xfId="1" applyNumberFormat="1" applyFont="1" applyFill="1" applyBorder="1" applyAlignment="1">
      <alignment horizontal="right"/>
    </xf>
    <xf numFmtId="3" fontId="48" fillId="0" borderId="0" xfId="0" applyNumberFormat="1" applyFont="1" applyAlignment="1">
      <alignment horizontal="center"/>
    </xf>
    <xf numFmtId="3" fontId="44" fillId="0" borderId="42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10" fontId="49" fillId="0" borderId="0" xfId="2982" applyNumberFormat="1" applyFont="1"/>
    <xf numFmtId="10" fontId="49" fillId="0" borderId="0" xfId="2982" applyNumberFormat="1" applyFont="1" applyAlignment="1"/>
    <xf numFmtId="164" fontId="20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166" fontId="20" fillId="0" borderId="0" xfId="1" applyNumberFormat="1" applyFont="1" applyBorder="1" applyAlignment="1">
      <alignment horizontal="center"/>
    </xf>
    <xf numFmtId="164" fontId="22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22" fillId="33" borderId="0" xfId="1" applyNumberFormat="1" applyFont="1" applyFill="1" applyBorder="1" applyAlignment="1">
      <alignment horizontal="center"/>
    </xf>
    <xf numFmtId="164" fontId="22" fillId="33" borderId="0" xfId="1" applyNumberFormat="1" applyFont="1" applyFill="1" applyBorder="1" applyAlignment="1"/>
    <xf numFmtId="164" fontId="22" fillId="0" borderId="0" xfId="1" applyNumberFormat="1" applyFont="1" applyBorder="1" applyAlignment="1">
      <alignment horizontal="center"/>
    </xf>
    <xf numFmtId="164" fontId="22" fillId="0" borderId="0" xfId="1" applyNumberFormat="1" applyFont="1" applyBorder="1" applyAlignment="1"/>
    <xf numFmtId="164" fontId="22" fillId="0" borderId="27" xfId="1" applyNumberFormat="1" applyFont="1" applyBorder="1" applyAlignment="1">
      <alignment horizontal="center"/>
    </xf>
    <xf numFmtId="164" fontId="22" fillId="0" borderId="27" xfId="1" applyNumberFormat="1" applyFont="1" applyBorder="1" applyAlignment="1"/>
    <xf numFmtId="164" fontId="20" fillId="0" borderId="0" xfId="1" applyNumberFormat="1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0" fontId="22" fillId="33" borderId="0" xfId="0" applyFont="1" applyFill="1" applyAlignment="1">
      <alignment horizontal="center"/>
    </xf>
    <xf numFmtId="3" fontId="53" fillId="59" borderId="26" xfId="2506" applyNumberFormat="1" applyFont="1" applyFill="1" applyBorder="1" applyAlignment="1">
      <alignment horizontal="right"/>
    </xf>
    <xf numFmtId="3" fontId="53" fillId="59" borderId="29" xfId="2506" applyNumberFormat="1" applyFont="1" applyFill="1" applyBorder="1" applyAlignment="1">
      <alignment horizontal="right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166" fontId="22" fillId="35" borderId="28" xfId="1" applyNumberFormat="1" applyFont="1" applyFill="1" applyBorder="1" applyAlignment="1">
      <alignment horizontal="center"/>
    </xf>
    <xf numFmtId="166" fontId="22" fillId="35" borderId="32" xfId="1" applyNumberFormat="1" applyFont="1" applyFill="1" applyBorder="1" applyAlignment="1">
      <alignment horizontal="center"/>
    </xf>
    <xf numFmtId="3" fontId="20" fillId="33" borderId="39" xfId="2506" quotePrefix="1" applyNumberFormat="1" applyFont="1" applyFill="1" applyBorder="1"/>
    <xf numFmtId="0" fontId="22" fillId="0" borderId="0" xfId="0" applyFont="1" applyAlignment="1">
      <alignment horizontal="right"/>
    </xf>
    <xf numFmtId="0" fontId="22" fillId="0" borderId="0" xfId="0" quotePrefix="1" applyFont="1" applyAlignment="1">
      <alignment horizontal="center"/>
    </xf>
    <xf numFmtId="0" fontId="24" fillId="61" borderId="0" xfId="0" applyFont="1" applyFill="1" applyAlignment="1">
      <alignment horizontal="left"/>
    </xf>
    <xf numFmtId="0" fontId="22" fillId="60" borderId="0" xfId="0" applyFont="1" applyFill="1" applyAlignment="1">
      <alignment horizontal="center"/>
    </xf>
    <xf numFmtId="0" fontId="0" fillId="60" borderId="0" xfId="0" applyFill="1" applyAlignment="1">
      <alignment horizontal="center"/>
    </xf>
    <xf numFmtId="0" fontId="22" fillId="33" borderId="28" xfId="0" applyFont="1" applyFill="1" applyBorder="1"/>
    <xf numFmtId="0" fontId="22" fillId="60" borderId="0" xfId="0" applyFont="1" applyFill="1"/>
    <xf numFmtId="0" fontId="20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3" fontId="44" fillId="0" borderId="42" xfId="0" applyNumberFormat="1" applyFont="1" applyBorder="1"/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9" fontId="49" fillId="0" borderId="0" xfId="2982" applyFont="1"/>
    <xf numFmtId="9" fontId="49" fillId="0" borderId="0" xfId="2982" applyFont="1" applyAlignment="1"/>
    <xf numFmtId="43" fontId="22" fillId="0" borderId="0" xfId="0" applyNumberFormat="1" applyFont="1" applyAlignment="1">
      <alignment horizontal="right"/>
    </xf>
    <xf numFmtId="0" fontId="24" fillId="63" borderId="0" xfId="0" applyFont="1" applyFill="1" applyAlignment="1">
      <alignment horizontal="left"/>
    </xf>
    <xf numFmtId="3" fontId="0" fillId="0" borderId="0" xfId="0" applyNumberFormat="1" applyAlignment="1">
      <alignment horizontal="center"/>
    </xf>
    <xf numFmtId="167" fontId="20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 wrapText="1"/>
    </xf>
    <xf numFmtId="3" fontId="20" fillId="35" borderId="40" xfId="2506" applyNumberFormat="1" applyFont="1" applyFill="1" applyBorder="1" applyAlignment="1">
      <alignment vertical="center" wrapText="1"/>
    </xf>
    <xf numFmtId="3" fontId="20" fillId="35" borderId="41" xfId="2506" applyNumberFormat="1" applyFont="1" applyFill="1" applyBorder="1" applyAlignment="1">
      <alignment vertical="center" wrapText="1"/>
    </xf>
    <xf numFmtId="166" fontId="22" fillId="0" borderId="24" xfId="1" applyNumberFormat="1" applyFont="1" applyFill="1" applyBorder="1" applyAlignment="1" applyProtection="1">
      <alignment horizontal="center" wrapText="1"/>
    </xf>
    <xf numFmtId="167" fontId="22" fillId="0" borderId="0" xfId="0" applyNumberFormat="1" applyFont="1" applyAlignment="1">
      <alignment horizontal="right"/>
    </xf>
    <xf numFmtId="166" fontId="20" fillId="35" borderId="28" xfId="1" applyNumberFormat="1" applyFont="1" applyFill="1" applyBorder="1" applyAlignment="1">
      <alignment horizontal="center"/>
    </xf>
    <xf numFmtId="0" fontId="54" fillId="0" borderId="0" xfId="0" applyFont="1"/>
    <xf numFmtId="0" fontId="45" fillId="0" borderId="0" xfId="2470" applyFont="1" applyAlignment="1">
      <alignment horizontal="right"/>
    </xf>
    <xf numFmtId="0" fontId="20" fillId="0" borderId="0" xfId="0" applyFont="1" applyAlignment="1">
      <alignment horizontal="center"/>
    </xf>
    <xf numFmtId="0" fontId="20" fillId="33" borderId="37" xfId="0" applyFont="1" applyFill="1" applyBorder="1" applyAlignment="1">
      <alignment horizontal="center"/>
    </xf>
    <xf numFmtId="164" fontId="22" fillId="35" borderId="28" xfId="2218" applyNumberFormat="1" applyFont="1" applyFill="1" applyBorder="1" applyAlignment="1">
      <alignment horizontal="center"/>
    </xf>
    <xf numFmtId="43" fontId="20" fillId="0" borderId="0" xfId="0" applyNumberFormat="1" applyFont="1" applyAlignment="1">
      <alignment horizontal="right"/>
    </xf>
    <xf numFmtId="0" fontId="54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66" fontId="22" fillId="33" borderId="0" xfId="1" applyNumberFormat="1" applyFont="1" applyFill="1" applyBorder="1" applyAlignment="1">
      <alignment horizontal="center"/>
    </xf>
    <xf numFmtId="166" fontId="22" fillId="0" borderId="0" xfId="1" applyNumberFormat="1" applyFont="1" applyBorder="1" applyAlignment="1">
      <alignment horizontal="center"/>
    </xf>
    <xf numFmtId="166" fontId="22" fillId="0" borderId="27" xfId="1" applyNumberFormat="1" applyFont="1" applyBorder="1" applyAlignment="1">
      <alignment horizontal="center"/>
    </xf>
    <xf numFmtId="4" fontId="44" fillId="0" borderId="42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0" fillId="62" borderId="0" xfId="0" applyFont="1" applyFill="1" applyAlignment="1">
      <alignment horizontal="center" vertical="center" wrapText="1"/>
    </xf>
    <xf numFmtId="3" fontId="20" fillId="35" borderId="41" xfId="2506" applyNumberFormat="1" applyFont="1" applyFill="1" applyBorder="1" applyAlignment="1">
      <alignment horizontal="center" vertical="center" wrapText="1"/>
    </xf>
    <xf numFmtId="44" fontId="22" fillId="0" borderId="24" xfId="2984" applyFont="1" applyFill="1" applyBorder="1" applyAlignment="1" applyProtection="1">
      <alignment horizontal="right" wrapText="1"/>
    </xf>
    <xf numFmtId="164" fontId="22" fillId="0" borderId="24" xfId="2979" applyNumberFormat="1" applyFont="1" applyFill="1" applyBorder="1" applyAlignment="1" applyProtection="1">
      <alignment horizontal="center" wrapText="1"/>
    </xf>
    <xf numFmtId="164" fontId="22" fillId="0" borderId="24" xfId="2979" applyNumberFormat="1" applyFont="1" applyFill="1" applyBorder="1" applyAlignment="1" applyProtection="1">
      <alignment horizontal="right" wrapText="1"/>
    </xf>
    <xf numFmtId="164" fontId="22" fillId="0" borderId="24" xfId="2979" applyNumberFormat="1" applyFont="1" applyFill="1" applyBorder="1" applyAlignment="1" applyProtection="1">
      <alignment horizontal="left"/>
    </xf>
    <xf numFmtId="0" fontId="19" fillId="0" borderId="45" xfId="2470" applyBorder="1"/>
    <xf numFmtId="0" fontId="22" fillId="0" borderId="45" xfId="2470" applyFont="1" applyBorder="1"/>
    <xf numFmtId="0" fontId="24" fillId="0" borderId="44" xfId="2470" applyFont="1" applyBorder="1" applyAlignment="1">
      <alignment horizontal="center"/>
    </xf>
    <xf numFmtId="0" fontId="24" fillId="0" borderId="45" xfId="2470" applyFont="1" applyBorder="1" applyAlignment="1">
      <alignment horizontal="center"/>
    </xf>
    <xf numFmtId="0" fontId="24" fillId="0" borderId="12" xfId="2470" applyFont="1" applyBorder="1" applyAlignment="1">
      <alignment horizontal="center"/>
    </xf>
    <xf numFmtId="0" fontId="24" fillId="0" borderId="13" xfId="2470" applyFont="1" applyBorder="1" applyAlignment="1">
      <alignment horizontal="center"/>
    </xf>
    <xf numFmtId="0" fontId="19" fillId="0" borderId="0" xfId="2470"/>
    <xf numFmtId="0" fontId="24" fillId="0" borderId="0" xfId="2470" applyFont="1" applyAlignment="1">
      <alignment horizontal="center"/>
    </xf>
    <xf numFmtId="0" fontId="57" fillId="0" borderId="43" xfId="2470" applyFont="1" applyBorder="1" applyAlignment="1">
      <alignment horizontal="left"/>
    </xf>
    <xf numFmtId="3" fontId="20" fillId="0" borderId="0" xfId="2470" applyNumberFormat="1" applyFont="1" applyAlignment="1">
      <alignment horizontal="center" textRotation="90" wrapText="1"/>
    </xf>
    <xf numFmtId="2" fontId="20" fillId="33" borderId="49" xfId="2470" applyNumberFormat="1" applyFont="1" applyFill="1" applyBorder="1" applyAlignment="1">
      <alignment horizontal="center" vertical="center" wrapText="1"/>
    </xf>
    <xf numFmtId="2" fontId="58" fillId="58" borderId="53" xfId="2803" applyNumberFormat="1" applyFont="1" applyFill="1" applyBorder="1" applyAlignment="1">
      <alignment horizontal="center" vertical="center" wrapText="1"/>
    </xf>
    <xf numFmtId="0" fontId="58" fillId="58" borderId="53" xfId="2803" applyFont="1" applyFill="1" applyBorder="1" applyAlignment="1">
      <alignment horizontal="center" vertical="center" wrapText="1"/>
    </xf>
    <xf numFmtId="0" fontId="20" fillId="0" borderId="13" xfId="2470" applyFont="1" applyBorder="1" applyAlignment="1">
      <alignment horizontal="center"/>
    </xf>
    <xf numFmtId="164" fontId="22" fillId="0" borderId="54" xfId="2979" applyNumberFormat="1" applyFont="1" applyFill="1" applyBorder="1" applyAlignment="1"/>
    <xf numFmtId="164" fontId="22" fillId="0" borderId="54" xfId="2317" applyNumberFormat="1" applyFont="1" applyFill="1" applyBorder="1" applyAlignment="1"/>
    <xf numFmtId="165" fontId="22" fillId="0" borderId="22" xfId="2836" applyNumberFormat="1" applyFont="1" applyFill="1" applyBorder="1" applyAlignment="1">
      <alignment horizontal="center"/>
    </xf>
    <xf numFmtId="2" fontId="22" fillId="0" borderId="0" xfId="2470" applyNumberFormat="1" applyFont="1" applyAlignment="1">
      <alignment horizontal="center"/>
    </xf>
    <xf numFmtId="165" fontId="59" fillId="58" borderId="0" xfId="2470" applyNumberFormat="1" applyFont="1" applyFill="1"/>
    <xf numFmtId="164" fontId="59" fillId="58" borderId="0" xfId="2470" applyNumberFormat="1" applyFont="1" applyFill="1"/>
    <xf numFmtId="9" fontId="59" fillId="58" borderId="0" xfId="2978" applyFont="1" applyFill="1"/>
    <xf numFmtId="0" fontId="22" fillId="0" borderId="0" xfId="2470" applyFont="1"/>
    <xf numFmtId="0" fontId="22" fillId="0" borderId="10" xfId="2470" applyFont="1" applyBorder="1"/>
    <xf numFmtId="164" fontId="22" fillId="0" borderId="0" xfId="2470" applyNumberFormat="1" applyFont="1" applyAlignment="1">
      <alignment horizontal="center"/>
    </xf>
    <xf numFmtId="165" fontId="22" fillId="0" borderId="0" xfId="2978" applyNumberFormat="1" applyFont="1" applyFill="1" applyAlignment="1">
      <alignment horizontal="center"/>
    </xf>
    <xf numFmtId="0" fontId="22" fillId="0" borderId="0" xfId="2470" applyFont="1" applyAlignment="1">
      <alignment horizontal="center"/>
    </xf>
    <xf numFmtId="164" fontId="19" fillId="0" borderId="0" xfId="2470" applyNumberFormat="1"/>
    <xf numFmtId="164" fontId="44" fillId="0" borderId="14" xfId="2470" applyNumberFormat="1" applyFont="1" applyBorder="1" applyAlignment="1">
      <alignment horizontal="center"/>
    </xf>
    <xf numFmtId="165" fontId="44" fillId="0" borderId="14" xfId="2978" applyNumberFormat="1" applyFont="1" applyFill="1" applyBorder="1" applyAlignment="1">
      <alignment horizontal="center"/>
    </xf>
    <xf numFmtId="2" fontId="20" fillId="0" borderId="0" xfId="2470" applyNumberFormat="1" applyFont="1" applyAlignment="1">
      <alignment horizontal="center"/>
    </xf>
    <xf numFmtId="165" fontId="22" fillId="0" borderId="0" xfId="2470" applyNumberFormat="1" applyFont="1"/>
    <xf numFmtId="9" fontId="22" fillId="0" borderId="0" xfId="2978" applyFont="1"/>
    <xf numFmtId="9" fontId="22" fillId="0" borderId="0" xfId="2978" applyFont="1" applyFill="1" applyAlignment="1">
      <alignment horizontal="center"/>
    </xf>
    <xf numFmtId="0" fontId="60" fillId="0" borderId="0" xfId="2470" applyFont="1"/>
    <xf numFmtId="164" fontId="45" fillId="0" borderId="58" xfId="2979" applyNumberFormat="1" applyFont="1" applyFill="1" applyBorder="1" applyAlignment="1">
      <alignment horizontal="center"/>
    </xf>
    <xf numFmtId="165" fontId="45" fillId="0" borderId="58" xfId="2978" applyNumberFormat="1" applyFont="1" applyFill="1" applyBorder="1" applyAlignment="1">
      <alignment horizontal="center"/>
    </xf>
    <xf numFmtId="165" fontId="22" fillId="0" borderId="0" xfId="2978" applyNumberFormat="1" applyFont="1"/>
    <xf numFmtId="10" fontId="22" fillId="0" borderId="0" xfId="2978" applyNumberFormat="1" applyFont="1"/>
    <xf numFmtId="164" fontId="45" fillId="0" borderId="0" xfId="2979" applyNumberFormat="1" applyFont="1" applyFill="1" applyBorder="1" applyAlignment="1">
      <alignment horizontal="center"/>
    </xf>
    <xf numFmtId="165" fontId="45" fillId="0" borderId="0" xfId="2978" applyNumberFormat="1" applyFont="1" applyFill="1" applyBorder="1" applyAlignment="1">
      <alignment horizontal="center"/>
    </xf>
    <xf numFmtId="164" fontId="22" fillId="0" borderId="0" xfId="2470" applyNumberFormat="1" applyFont="1"/>
    <xf numFmtId="0" fontId="22" fillId="65" borderId="10" xfId="2470" applyFont="1" applyFill="1" applyBorder="1"/>
    <xf numFmtId="0" fontId="22" fillId="65" borderId="0" xfId="2470" applyFont="1" applyFill="1"/>
    <xf numFmtId="164" fontId="44" fillId="65" borderId="14" xfId="2470" applyNumberFormat="1" applyFont="1" applyFill="1" applyBorder="1" applyAlignment="1">
      <alignment horizontal="center"/>
    </xf>
    <xf numFmtId="165" fontId="44" fillId="65" borderId="14" xfId="2978" applyNumberFormat="1" applyFont="1" applyFill="1" applyBorder="1" applyAlignment="1">
      <alignment horizontal="center"/>
    </xf>
    <xf numFmtId="2" fontId="20" fillId="65" borderId="0" xfId="2470" applyNumberFormat="1" applyFont="1" applyFill="1" applyAlignment="1">
      <alignment horizontal="center"/>
    </xf>
    <xf numFmtId="165" fontId="22" fillId="65" borderId="0" xfId="2978" applyNumberFormat="1" applyFont="1" applyFill="1" applyAlignment="1">
      <alignment horizontal="center"/>
    </xf>
    <xf numFmtId="9" fontId="22" fillId="65" borderId="0" xfId="2978" applyFont="1" applyFill="1" applyAlignment="1">
      <alignment horizontal="center"/>
    </xf>
    <xf numFmtId="0" fontId="60" fillId="65" borderId="0" xfId="2470" applyFont="1" applyFill="1"/>
    <xf numFmtId="164" fontId="45" fillId="65" borderId="58" xfId="2979" applyNumberFormat="1" applyFont="1" applyFill="1" applyBorder="1" applyAlignment="1">
      <alignment horizontal="center"/>
    </xf>
    <xf numFmtId="165" fontId="45" fillId="65" borderId="58" xfId="2978" applyNumberFormat="1" applyFont="1" applyFill="1" applyBorder="1" applyAlignment="1">
      <alignment horizontal="center"/>
    </xf>
    <xf numFmtId="0" fontId="22" fillId="66" borderId="10" xfId="2470" applyFont="1" applyFill="1" applyBorder="1"/>
    <xf numFmtId="0" fontId="22" fillId="66" borderId="0" xfId="2470" applyFont="1" applyFill="1"/>
    <xf numFmtId="164" fontId="44" fillId="66" borderId="14" xfId="2470" applyNumberFormat="1" applyFont="1" applyFill="1" applyBorder="1" applyAlignment="1">
      <alignment horizontal="center"/>
    </xf>
    <xf numFmtId="165" fontId="44" fillId="66" borderId="14" xfId="2978" applyNumberFormat="1" applyFont="1" applyFill="1" applyBorder="1" applyAlignment="1">
      <alignment horizontal="center"/>
    </xf>
    <xf numFmtId="2" fontId="20" fillId="66" borderId="0" xfId="2470" applyNumberFormat="1" applyFont="1" applyFill="1" applyAlignment="1">
      <alignment horizontal="center"/>
    </xf>
    <xf numFmtId="165" fontId="22" fillId="66" borderId="0" xfId="2978" applyNumberFormat="1" applyFont="1" applyFill="1" applyAlignment="1">
      <alignment horizontal="center"/>
    </xf>
    <xf numFmtId="9" fontId="22" fillId="66" borderId="0" xfId="2978" applyFont="1" applyFill="1" applyAlignment="1">
      <alignment horizontal="center"/>
    </xf>
    <xf numFmtId="0" fontId="60" fillId="66" borderId="0" xfId="2470" applyFont="1" applyFill="1"/>
    <xf numFmtId="164" fontId="45" fillId="66" borderId="58" xfId="2979" applyNumberFormat="1" applyFont="1" applyFill="1" applyBorder="1" applyAlignment="1">
      <alignment horizontal="center"/>
    </xf>
    <xf numFmtId="165" fontId="45" fillId="66" borderId="58" xfId="2978" applyNumberFormat="1" applyFont="1" applyFill="1" applyBorder="1" applyAlignment="1">
      <alignment horizontal="center"/>
    </xf>
    <xf numFmtId="0" fontId="22" fillId="58" borderId="10" xfId="2470" applyFont="1" applyFill="1" applyBorder="1"/>
    <xf numFmtId="0" fontId="22" fillId="58" borderId="0" xfId="2470" applyFont="1" applyFill="1"/>
    <xf numFmtId="164" fontId="44" fillId="58" borderId="14" xfId="2470" applyNumberFormat="1" applyFont="1" applyFill="1" applyBorder="1" applyAlignment="1">
      <alignment horizontal="center"/>
    </xf>
    <xf numFmtId="0" fontId="57" fillId="58" borderId="43" xfId="2470" applyFont="1" applyFill="1" applyBorder="1" applyAlignment="1">
      <alignment horizontal="left"/>
    </xf>
    <xf numFmtId="165" fontId="44" fillId="58" borderId="14" xfId="2978" applyNumberFormat="1" applyFont="1" applyFill="1" applyBorder="1" applyAlignment="1">
      <alignment horizontal="center"/>
    </xf>
    <xf numFmtId="165" fontId="22" fillId="58" borderId="0" xfId="2978" applyNumberFormat="1" applyFont="1" applyFill="1" applyAlignment="1">
      <alignment horizontal="center"/>
    </xf>
    <xf numFmtId="9" fontId="22" fillId="58" borderId="0" xfId="2978" applyFont="1" applyFill="1" applyAlignment="1">
      <alignment horizontal="center"/>
    </xf>
    <xf numFmtId="0" fontId="60" fillId="58" borderId="0" xfId="2470" applyFont="1" applyFill="1"/>
    <xf numFmtId="164" fontId="45" fillId="58" borderId="58" xfId="2979" applyNumberFormat="1" applyFont="1" applyFill="1" applyBorder="1" applyAlignment="1">
      <alignment horizontal="center"/>
    </xf>
    <xf numFmtId="165" fontId="45" fillId="58" borderId="58" xfId="2978" applyNumberFormat="1" applyFont="1" applyFill="1" applyBorder="1" applyAlignment="1">
      <alignment horizontal="center"/>
    </xf>
    <xf numFmtId="164" fontId="22" fillId="0" borderId="0" xfId="2979" applyNumberFormat="1" applyFont="1"/>
    <xf numFmtId="164" fontId="22" fillId="0" borderId="0" xfId="2979" applyNumberFormat="1" applyFont="1" applyFill="1" applyBorder="1"/>
    <xf numFmtId="164" fontId="22" fillId="0" borderId="0" xfId="2979" applyNumberFormat="1" applyFont="1" applyFill="1" applyAlignment="1">
      <alignment horizontal="center"/>
    </xf>
    <xf numFmtId="164" fontId="61" fillId="0" borderId="43" xfId="2979" applyNumberFormat="1" applyFont="1" applyFill="1" applyBorder="1" applyAlignment="1">
      <alignment horizontal="left"/>
    </xf>
    <xf numFmtId="0" fontId="22" fillId="59" borderId="10" xfId="2470" applyFont="1" applyFill="1" applyBorder="1"/>
    <xf numFmtId="0" fontId="22" fillId="59" borderId="0" xfId="2470" applyFont="1" applyFill="1"/>
    <xf numFmtId="164" fontId="44" fillId="59" borderId="14" xfId="2470" applyNumberFormat="1" applyFont="1" applyFill="1" applyBorder="1" applyAlignment="1">
      <alignment horizontal="center"/>
    </xf>
    <xf numFmtId="0" fontId="57" fillId="59" borderId="43" xfId="2470" applyFont="1" applyFill="1" applyBorder="1" applyAlignment="1">
      <alignment horizontal="left"/>
    </xf>
    <xf numFmtId="165" fontId="44" fillId="59" borderId="14" xfId="2978" applyNumberFormat="1" applyFont="1" applyFill="1" applyBorder="1" applyAlignment="1">
      <alignment horizontal="center"/>
    </xf>
    <xf numFmtId="164" fontId="22" fillId="59" borderId="0" xfId="2979" applyNumberFormat="1" applyFont="1" applyFill="1"/>
    <xf numFmtId="0" fontId="60" fillId="59" borderId="0" xfId="2470" applyFont="1" applyFill="1"/>
    <xf numFmtId="164" fontId="45" fillId="59" borderId="58" xfId="2979" applyNumberFormat="1" applyFont="1" applyFill="1" applyBorder="1" applyAlignment="1">
      <alignment horizontal="center"/>
    </xf>
    <xf numFmtId="165" fontId="45" fillId="59" borderId="58" xfId="2978" applyNumberFormat="1" applyFont="1" applyFill="1" applyBorder="1" applyAlignment="1">
      <alignment horizontal="center"/>
    </xf>
    <xf numFmtId="0" fontId="22" fillId="67" borderId="0" xfId="2470" applyFont="1" applyFill="1"/>
    <xf numFmtId="164" fontId="44" fillId="67" borderId="14" xfId="2470" applyNumberFormat="1" applyFont="1" applyFill="1" applyBorder="1" applyAlignment="1">
      <alignment horizontal="center"/>
    </xf>
    <xf numFmtId="0" fontId="57" fillId="67" borderId="43" xfId="2470" applyFont="1" applyFill="1" applyBorder="1" applyAlignment="1">
      <alignment horizontal="left"/>
    </xf>
    <xf numFmtId="165" fontId="44" fillId="67" borderId="14" xfId="2978" applyNumberFormat="1" applyFont="1" applyFill="1" applyBorder="1" applyAlignment="1">
      <alignment horizontal="center"/>
    </xf>
    <xf numFmtId="0" fontId="60" fillId="67" borderId="0" xfId="2470" applyFont="1" applyFill="1"/>
    <xf numFmtId="164" fontId="45" fillId="67" borderId="58" xfId="2979" applyNumberFormat="1" applyFont="1" applyFill="1" applyBorder="1" applyAlignment="1">
      <alignment horizontal="center"/>
    </xf>
    <xf numFmtId="165" fontId="45" fillId="67" borderId="58" xfId="2978" applyNumberFormat="1" applyFont="1" applyFill="1" applyBorder="1" applyAlignment="1">
      <alignment horizontal="center"/>
    </xf>
    <xf numFmtId="0" fontId="22" fillId="58" borderId="0" xfId="0" applyFont="1" applyFill="1"/>
    <xf numFmtId="164" fontId="44" fillId="58" borderId="14" xfId="0" applyNumberFormat="1" applyFont="1" applyFill="1" applyBorder="1" applyAlignment="1">
      <alignment horizontal="center"/>
    </xf>
    <xf numFmtId="0" fontId="57" fillId="58" borderId="43" xfId="0" applyFont="1" applyFill="1" applyBorder="1" applyAlignment="1">
      <alignment horizontal="left"/>
    </xf>
    <xf numFmtId="9" fontId="19" fillId="0" borderId="0" xfId="2978" applyFont="1"/>
    <xf numFmtId="0" fontId="60" fillId="58" borderId="0" xfId="0" applyFont="1" applyFill="1"/>
    <xf numFmtId="0" fontId="19" fillId="0" borderId="0" xfId="2470" applyAlignment="1">
      <alignment horizontal="center"/>
    </xf>
    <xf numFmtId="0" fontId="22" fillId="68" borderId="0" xfId="0" applyFont="1" applyFill="1"/>
    <xf numFmtId="164" fontId="44" fillId="68" borderId="14" xfId="0" applyNumberFormat="1" applyFont="1" applyFill="1" applyBorder="1" applyAlignment="1">
      <alignment horizontal="center"/>
    </xf>
    <xf numFmtId="0" fontId="57" fillId="68" borderId="43" xfId="0" applyFont="1" applyFill="1" applyBorder="1" applyAlignment="1">
      <alignment horizontal="left"/>
    </xf>
    <xf numFmtId="165" fontId="44" fillId="68" borderId="14" xfId="2978" applyNumberFormat="1" applyFont="1" applyFill="1" applyBorder="1" applyAlignment="1">
      <alignment horizontal="center"/>
    </xf>
    <xf numFmtId="0" fontId="60" fillId="68" borderId="0" xfId="0" applyFont="1" applyFill="1"/>
    <xf numFmtId="164" fontId="45" fillId="68" borderId="58" xfId="2979" applyNumberFormat="1" applyFont="1" applyFill="1" applyBorder="1" applyAlignment="1">
      <alignment horizontal="center"/>
    </xf>
    <xf numFmtId="165" fontId="45" fillId="68" borderId="58" xfId="2978" applyNumberFormat="1" applyFont="1" applyFill="1" applyBorder="1" applyAlignment="1">
      <alignment horizontal="center"/>
    </xf>
    <xf numFmtId="0" fontId="19" fillId="0" borderId="10" xfId="2470" applyBorder="1"/>
    <xf numFmtId="0" fontId="0" fillId="0" borderId="45" xfId="0" applyBorder="1"/>
    <xf numFmtId="0" fontId="24" fillId="0" borderId="46" xfId="2470" applyFont="1" applyBorder="1" applyAlignment="1">
      <alignment horizontal="center"/>
    </xf>
    <xf numFmtId="0" fontId="24" fillId="0" borderId="48" xfId="2470" applyFont="1" applyBorder="1" applyAlignment="1">
      <alignment horizontal="center"/>
    </xf>
    <xf numFmtId="0" fontId="19" fillId="0" borderId="12" xfId="2470" applyBorder="1"/>
    <xf numFmtId="0" fontId="0" fillId="0" borderId="12" xfId="0" applyBorder="1"/>
    <xf numFmtId="0" fontId="24" fillId="0" borderId="43" xfId="2470" applyFont="1" applyBorder="1" applyAlignment="1">
      <alignment horizontal="center"/>
    </xf>
    <xf numFmtId="0" fontId="24" fillId="0" borderId="59" xfId="2470" applyFont="1" applyBorder="1" applyAlignment="1">
      <alignment horizontal="center"/>
    </xf>
    <xf numFmtId="2" fontId="20" fillId="0" borderId="43" xfId="247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3" fontId="22" fillId="0" borderId="10" xfId="2470" applyNumberFormat="1" applyFont="1" applyBorder="1" applyAlignment="1">
      <alignment horizontal="right" wrapText="1"/>
    </xf>
    <xf numFmtId="166" fontId="22" fillId="0" borderId="22" xfId="2979" applyNumberFormat="1" applyFont="1" applyFill="1" applyBorder="1" applyAlignment="1"/>
    <xf numFmtId="165" fontId="22" fillId="0" borderId="0" xfId="2978" applyNumberFormat="1" applyFont="1" applyFill="1" applyBorder="1" applyAlignment="1">
      <alignment horizontal="center"/>
    </xf>
    <xf numFmtId="164" fontId="22" fillId="35" borderId="30" xfId="2979" applyNumberFormat="1" applyFont="1" applyFill="1" applyBorder="1" applyAlignment="1">
      <alignment horizontal="center"/>
    </xf>
    <xf numFmtId="43" fontId="22" fillId="0" borderId="0" xfId="2979" applyFont="1" applyFill="1" applyAlignment="1">
      <alignment horizontal="center"/>
    </xf>
    <xf numFmtId="43" fontId="22" fillId="0" borderId="0" xfId="2470" applyNumberFormat="1" applyFont="1"/>
    <xf numFmtId="0" fontId="20" fillId="0" borderId="0" xfId="2470" applyFont="1"/>
    <xf numFmtId="164" fontId="63" fillId="0" borderId="14" xfId="0" applyNumberFormat="1" applyFont="1" applyBorder="1" applyAlignment="1">
      <alignment horizontal="center"/>
    </xf>
    <xf numFmtId="0" fontId="60" fillId="0" borderId="10" xfId="2470" applyFont="1" applyBorder="1"/>
    <xf numFmtId="43" fontId="63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/>
    </xf>
    <xf numFmtId="164" fontId="60" fillId="0" borderId="0" xfId="2470" applyNumberFormat="1" applyFont="1"/>
    <xf numFmtId="0" fontId="22" fillId="64" borderId="10" xfId="2470" applyFont="1" applyFill="1" applyBorder="1"/>
    <xf numFmtId="0" fontId="22" fillId="64" borderId="0" xfId="2470" applyFont="1" applyFill="1"/>
    <xf numFmtId="164" fontId="44" fillId="64" borderId="14" xfId="2470" applyNumberFormat="1" applyFont="1" applyFill="1" applyBorder="1" applyAlignment="1">
      <alignment horizontal="center"/>
    </xf>
    <xf numFmtId="0" fontId="20" fillId="64" borderId="0" xfId="2470" applyFont="1" applyFill="1"/>
    <xf numFmtId="9" fontId="22" fillId="64" borderId="0" xfId="2978" applyFont="1" applyFill="1"/>
    <xf numFmtId="0" fontId="22" fillId="64" borderId="0" xfId="2470" applyFont="1" applyFill="1" applyAlignment="1">
      <alignment horizontal="center"/>
    </xf>
    <xf numFmtId="165" fontId="22" fillId="64" borderId="0" xfId="2978" applyNumberFormat="1" applyFont="1" applyFill="1" applyAlignment="1">
      <alignment horizontal="center"/>
    </xf>
    <xf numFmtId="0" fontId="22" fillId="64" borderId="0" xfId="0" applyFont="1" applyFill="1" applyAlignment="1">
      <alignment horizontal="center"/>
    </xf>
    <xf numFmtId="164" fontId="22" fillId="64" borderId="0" xfId="2470" applyNumberFormat="1" applyFont="1" applyFill="1"/>
    <xf numFmtId="164" fontId="45" fillId="64" borderId="58" xfId="2979" applyNumberFormat="1" applyFont="1" applyFill="1" applyBorder="1" applyAlignment="1">
      <alignment horizontal="center"/>
    </xf>
    <xf numFmtId="0" fontId="60" fillId="64" borderId="10" xfId="2470" applyFont="1" applyFill="1" applyBorder="1"/>
    <xf numFmtId="0" fontId="60" fillId="64" borderId="0" xfId="2470" applyFont="1" applyFill="1"/>
    <xf numFmtId="9" fontId="45" fillId="0" borderId="0" xfId="2978" applyFont="1" applyFill="1" applyBorder="1" applyAlignment="1">
      <alignment horizontal="center"/>
    </xf>
    <xf numFmtId="0" fontId="20" fillId="66" borderId="0" xfId="2470" applyFont="1" applyFill="1"/>
    <xf numFmtId="0" fontId="22" fillId="66" borderId="0" xfId="2470" applyFont="1" applyFill="1" applyAlignment="1">
      <alignment horizontal="center"/>
    </xf>
    <xf numFmtId="0" fontId="60" fillId="66" borderId="10" xfId="2470" applyFont="1" applyFill="1" applyBorder="1"/>
    <xf numFmtId="0" fontId="20" fillId="58" borderId="0" xfId="2470" applyFont="1" applyFill="1"/>
    <xf numFmtId="0" fontId="22" fillId="58" borderId="0" xfId="2470" applyFont="1" applyFill="1" applyAlignment="1">
      <alignment horizontal="center"/>
    </xf>
    <xf numFmtId="0" fontId="60" fillId="58" borderId="10" xfId="2470" applyFont="1" applyFill="1" applyBorder="1"/>
    <xf numFmtId="0" fontId="20" fillId="59" borderId="0" xfId="2470" applyFont="1" applyFill="1"/>
    <xf numFmtId="0" fontId="22" fillId="59" borderId="0" xfId="2470" applyFont="1" applyFill="1" applyAlignment="1">
      <alignment horizontal="center"/>
    </xf>
    <xf numFmtId="165" fontId="22" fillId="59" borderId="0" xfId="2978" applyNumberFormat="1" applyFont="1" applyFill="1" applyAlignment="1">
      <alignment horizontal="center"/>
    </xf>
    <xf numFmtId="0" fontId="60" fillId="59" borderId="10" xfId="2470" applyFont="1" applyFill="1" applyBorder="1"/>
    <xf numFmtId="0" fontId="20" fillId="67" borderId="0" xfId="2470" applyFont="1" applyFill="1"/>
    <xf numFmtId="43" fontId="0" fillId="0" borderId="0" xfId="2979" applyFont="1"/>
    <xf numFmtId="0" fontId="20" fillId="33" borderId="37" xfId="0" applyFont="1" applyFill="1" applyBorder="1" applyAlignment="1">
      <alignment horizontal="center" vertical="center"/>
    </xf>
    <xf numFmtId="3" fontId="20" fillId="35" borderId="0" xfId="2506" applyNumberFormat="1" applyFont="1" applyFill="1" applyAlignment="1">
      <alignment horizontal="center" vertical="center" wrapText="1"/>
    </xf>
    <xf numFmtId="164" fontId="22" fillId="0" borderId="24" xfId="2979" applyNumberFormat="1" applyFont="1" applyFill="1" applyBorder="1" applyAlignment="1" applyProtection="1">
      <alignment horizontal="right"/>
    </xf>
    <xf numFmtId="168" fontId="22" fillId="0" borderId="24" xfId="2979" applyNumberFormat="1" applyFont="1" applyFill="1" applyBorder="1" applyAlignment="1" applyProtection="1">
      <alignment horizontal="right"/>
    </xf>
    <xf numFmtId="164" fontId="22" fillId="0" borderId="24" xfId="2218" applyNumberFormat="1" applyFont="1" applyFill="1" applyBorder="1" applyAlignment="1">
      <alignment vertical="center"/>
    </xf>
    <xf numFmtId="164" fontId="20" fillId="35" borderId="28" xfId="2979" applyNumberFormat="1" applyFont="1" applyFill="1" applyBorder="1" applyAlignment="1">
      <alignment horizontal="center"/>
    </xf>
    <xf numFmtId="9" fontId="20" fillId="35" borderId="28" xfId="2978" applyFont="1" applyFill="1" applyBorder="1" applyAlignment="1">
      <alignment horizontal="right"/>
    </xf>
    <xf numFmtId="164" fontId="22" fillId="35" borderId="28" xfId="2979" applyNumberFormat="1" applyFont="1" applyFill="1" applyBorder="1" applyAlignment="1">
      <alignment horizontal="center"/>
    </xf>
    <xf numFmtId="164" fontId="22" fillId="35" borderId="32" xfId="2979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2" fillId="0" borderId="0" xfId="0" applyFont="1"/>
    <xf numFmtId="0" fontId="66" fillId="0" borderId="0" xfId="0" applyFont="1"/>
    <xf numFmtId="166" fontId="63" fillId="0" borderId="0" xfId="0" applyNumberFormat="1" applyFont="1" applyAlignment="1">
      <alignment horizontal="right"/>
    </xf>
    <xf numFmtId="164" fontId="22" fillId="33" borderId="0" xfId="2979" applyNumberFormat="1" applyFont="1" applyFill="1" applyBorder="1" applyAlignment="1">
      <alignment horizontal="center"/>
    </xf>
    <xf numFmtId="9" fontId="62" fillId="0" borderId="0" xfId="2978" applyFont="1"/>
    <xf numFmtId="0" fontId="57" fillId="0" borderId="43" xfId="2470" applyFont="1" applyBorder="1"/>
    <xf numFmtId="0" fontId="22" fillId="0" borderId="12" xfId="2470" applyFont="1" applyBorder="1"/>
    <xf numFmtId="0" fontId="20" fillId="0" borderId="43" xfId="2470" applyFont="1" applyBorder="1" applyAlignment="1">
      <alignment horizontal="center" vertical="center"/>
    </xf>
    <xf numFmtId="2" fontId="20" fillId="69" borderId="48" xfId="2470" applyNumberFormat="1" applyFont="1" applyFill="1" applyBorder="1" applyAlignment="1">
      <alignment horizontal="center" vertical="center" wrapText="1"/>
    </xf>
    <xf numFmtId="2" fontId="20" fillId="69" borderId="51" xfId="2470" applyNumberFormat="1" applyFont="1" applyFill="1" applyBorder="1" applyAlignment="1">
      <alignment horizontal="center" vertical="center" wrapText="1"/>
    </xf>
    <xf numFmtId="2" fontId="20" fillId="69" borderId="0" xfId="2470" applyNumberFormat="1" applyFont="1" applyFill="1" applyAlignment="1">
      <alignment horizontal="center" vertical="center" wrapText="1"/>
    </xf>
    <xf numFmtId="0" fontId="20" fillId="70" borderId="12" xfId="2985" applyFont="1" applyFill="1" applyBorder="1" applyAlignment="1">
      <alignment horizontal="center" vertical="center" wrapText="1"/>
    </xf>
    <xf numFmtId="0" fontId="20" fillId="70" borderId="43" xfId="2985" applyFont="1" applyFill="1" applyBorder="1" applyAlignment="1">
      <alignment horizontal="center" vertical="center" wrapText="1"/>
    </xf>
    <xf numFmtId="0" fontId="20" fillId="34" borderId="48" xfId="2985" applyFont="1" applyFill="1" applyBorder="1" applyAlignment="1">
      <alignment horizontal="center" vertical="center" wrapText="1"/>
    </xf>
    <xf numFmtId="0" fontId="20" fillId="34" borderId="0" xfId="2985" applyFont="1" applyFill="1" applyAlignment="1">
      <alignment horizontal="center" vertical="center" wrapText="1"/>
    </xf>
    <xf numFmtId="0" fontId="20" fillId="68" borderId="48" xfId="2985" applyFont="1" applyFill="1" applyBorder="1" applyAlignment="1">
      <alignment horizontal="center" vertical="center" wrapText="1"/>
    </xf>
    <xf numFmtId="0" fontId="20" fillId="68" borderId="0" xfId="2985" applyFont="1" applyFill="1" applyAlignment="1">
      <alignment horizontal="center" vertical="center" wrapText="1"/>
    </xf>
    <xf numFmtId="0" fontId="20" fillId="71" borderId="0" xfId="2985" applyFont="1" applyFill="1" applyAlignment="1">
      <alignment horizontal="center" vertical="center" wrapText="1"/>
    </xf>
    <xf numFmtId="2" fontId="20" fillId="33" borderId="51" xfId="2470" applyNumberFormat="1" applyFont="1" applyFill="1" applyBorder="1" applyAlignment="1">
      <alignment horizontal="center" vertical="center" wrapText="1"/>
    </xf>
    <xf numFmtId="0" fontId="19" fillId="0" borderId="10" xfId="2470" applyBorder="1" applyAlignment="1">
      <alignment horizontal="center"/>
    </xf>
    <xf numFmtId="0" fontId="22" fillId="69" borderId="12" xfId="2470" applyFont="1" applyFill="1" applyBorder="1" applyAlignment="1">
      <alignment horizontal="center"/>
    </xf>
    <xf numFmtId="43" fontId="22" fillId="69" borderId="12" xfId="2979" applyFont="1" applyFill="1" applyBorder="1" applyAlignment="1">
      <alignment horizontal="center" wrapText="1"/>
    </xf>
    <xf numFmtId="43" fontId="22" fillId="69" borderId="10" xfId="2979" applyFont="1" applyFill="1" applyBorder="1" applyAlignment="1">
      <alignment horizontal="center" wrapText="1"/>
    </xf>
    <xf numFmtId="0" fontId="22" fillId="70" borderId="46" xfId="2470" applyFont="1" applyFill="1" applyBorder="1" applyAlignment="1">
      <alignment horizontal="center"/>
    </xf>
    <xf numFmtId="0" fontId="22" fillId="70" borderId="13" xfId="2470" applyFont="1" applyFill="1" applyBorder="1" applyAlignment="1">
      <alignment horizontal="center"/>
    </xf>
    <xf numFmtId="2" fontId="22" fillId="70" borderId="10" xfId="2470" applyNumberFormat="1" applyFont="1" applyFill="1" applyBorder="1" applyAlignment="1">
      <alignment horizontal="center"/>
    </xf>
    <xf numFmtId="0" fontId="22" fillId="34" borderId="12" xfId="2470" applyFont="1" applyFill="1" applyBorder="1" applyAlignment="1">
      <alignment horizontal="center"/>
    </xf>
    <xf numFmtId="2" fontId="22" fillId="34" borderId="10" xfId="2470" applyNumberFormat="1" applyFont="1" applyFill="1" applyBorder="1" applyAlignment="1">
      <alignment horizontal="center"/>
    </xf>
    <xf numFmtId="0" fontId="22" fillId="68" borderId="10" xfId="2470" applyFont="1" applyFill="1" applyBorder="1" applyAlignment="1">
      <alignment horizontal="center"/>
    </xf>
    <xf numFmtId="2" fontId="22" fillId="68" borderId="10" xfId="2470" applyNumberFormat="1" applyFont="1" applyFill="1" applyBorder="1" applyAlignment="1">
      <alignment horizontal="center"/>
    </xf>
    <xf numFmtId="2" fontId="22" fillId="0" borderId="0" xfId="2470" applyNumberFormat="1" applyFont="1"/>
    <xf numFmtId="9" fontId="22" fillId="0" borderId="0" xfId="2978" applyFont="1" applyBorder="1"/>
    <xf numFmtId="0" fontId="22" fillId="68" borderId="10" xfId="2470" quotePrefix="1" applyFont="1" applyFill="1" applyBorder="1" applyAlignment="1">
      <alignment horizontal="center"/>
    </xf>
    <xf numFmtId="0" fontId="22" fillId="0" borderId="0" xfId="2470" quotePrefix="1" applyFont="1" applyAlignment="1">
      <alignment horizontal="center"/>
    </xf>
    <xf numFmtId="0" fontId="19" fillId="72" borderId="10" xfId="2470" applyFill="1" applyBorder="1" applyAlignment="1">
      <alignment horizontal="center"/>
    </xf>
    <xf numFmtId="0" fontId="19" fillId="0" borderId="0" xfId="2470" quotePrefix="1" applyAlignment="1">
      <alignment horizontal="center"/>
    </xf>
    <xf numFmtId="43" fontId="20" fillId="0" borderId="0" xfId="2470" applyNumberFormat="1" applyFont="1" applyAlignment="1">
      <alignment horizontal="center"/>
    </xf>
    <xf numFmtId="0" fontId="20" fillId="0" borderId="26" xfId="2470" applyFont="1" applyBorder="1"/>
    <xf numFmtId="0" fontId="22" fillId="0" borderId="26" xfId="2470" applyFont="1" applyBorder="1"/>
    <xf numFmtId="2" fontId="20" fillId="0" borderId="26" xfId="2470" applyNumberFormat="1" applyFont="1" applyBorder="1"/>
    <xf numFmtId="0" fontId="22" fillId="0" borderId="26" xfId="2470" applyFont="1" applyBorder="1" applyAlignment="1">
      <alignment horizontal="center"/>
    </xf>
    <xf numFmtId="9" fontId="20" fillId="0" borderId="26" xfId="2978" applyFont="1" applyBorder="1"/>
    <xf numFmtId="0" fontId="22" fillId="0" borderId="26" xfId="2470" quotePrefix="1" applyFont="1" applyBorder="1" applyAlignment="1">
      <alignment horizontal="center"/>
    </xf>
    <xf numFmtId="0" fontId="57" fillId="0" borderId="43" xfId="0" applyFont="1" applyBorder="1"/>
    <xf numFmtId="0" fontId="57" fillId="0" borderId="44" xfId="0" applyFont="1" applyBorder="1"/>
    <xf numFmtId="0" fontId="57" fillId="0" borderId="43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22" fillId="0" borderId="45" xfId="0" applyFont="1" applyBorder="1"/>
    <xf numFmtId="0" fontId="20" fillId="0" borderId="4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12" xfId="0" applyFont="1" applyBorder="1"/>
    <xf numFmtId="0" fontId="22" fillId="0" borderId="46" xfId="0" applyFont="1" applyBorder="1"/>
    <xf numFmtId="0" fontId="22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3" xfId="0" applyFont="1" applyBorder="1"/>
    <xf numFmtId="0" fontId="22" fillId="0" borderId="0" xfId="0" applyFont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2" fillId="0" borderId="12" xfId="2985" applyBorder="1" applyAlignment="1">
      <alignment vertical="center"/>
    </xf>
    <xf numFmtId="0" fontId="20" fillId="69" borderId="45" xfId="2985" applyFont="1" applyFill="1" applyBorder="1" applyAlignment="1">
      <alignment vertical="center"/>
    </xf>
    <xf numFmtId="0" fontId="20" fillId="69" borderId="65" xfId="2985" applyFont="1" applyFill="1" applyBorder="1" applyAlignment="1">
      <alignment vertical="center"/>
    </xf>
    <xf numFmtId="0" fontId="20" fillId="69" borderId="65" xfId="2985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20" fillId="69" borderId="72" xfId="0" applyNumberFormat="1" applyFont="1" applyFill="1" applyBorder="1" applyAlignment="1">
      <alignment horizontal="center" vertical="center" wrapText="1"/>
    </xf>
    <xf numFmtId="0" fontId="20" fillId="74" borderId="72" xfId="0" applyFont="1" applyFill="1" applyBorder="1" applyAlignment="1">
      <alignment horizontal="center" vertical="center" wrapText="1"/>
    </xf>
    <xf numFmtId="2" fontId="20" fillId="34" borderId="72" xfId="0" applyNumberFormat="1" applyFont="1" applyFill="1" applyBorder="1" applyAlignment="1">
      <alignment horizontal="center" vertical="center" wrapText="1"/>
    </xf>
    <xf numFmtId="0" fontId="22" fillId="69" borderId="46" xfId="2985" applyFill="1" applyBorder="1" applyAlignment="1">
      <alignment horizontal="center" vertical="center" wrapText="1"/>
    </xf>
    <xf numFmtId="0" fontId="22" fillId="69" borderId="12" xfId="2985" applyFill="1" applyBorder="1" applyAlignment="1">
      <alignment horizontal="center" vertical="center" wrapText="1"/>
    </xf>
    <xf numFmtId="0" fontId="22" fillId="69" borderId="13" xfId="2979" applyNumberFormat="1" applyFont="1" applyFill="1" applyBorder="1" applyAlignment="1">
      <alignment horizontal="center" vertical="center" wrapText="1"/>
    </xf>
    <xf numFmtId="0" fontId="22" fillId="69" borderId="43" xfId="2979" applyNumberFormat="1" applyFont="1" applyFill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/>
    </xf>
    <xf numFmtId="0" fontId="22" fillId="70" borderId="46" xfId="2985" applyFill="1" applyBorder="1" applyAlignment="1">
      <alignment horizontal="center" vertical="center" wrapText="1"/>
    </xf>
    <xf numFmtId="0" fontId="22" fillId="70" borderId="12" xfId="2985" applyFill="1" applyBorder="1" applyAlignment="1">
      <alignment horizontal="center" vertical="center" wrapText="1"/>
    </xf>
    <xf numFmtId="0" fontId="22" fillId="70" borderId="13" xfId="2985" applyFill="1" applyBorder="1" applyAlignment="1">
      <alignment horizontal="center" vertical="center" wrapText="1"/>
    </xf>
    <xf numFmtId="0" fontId="22" fillId="34" borderId="73" xfId="2985" applyFill="1" applyBorder="1" applyAlignment="1">
      <alignment horizontal="center" vertical="center" wrapText="1"/>
    </xf>
    <xf numFmtId="0" fontId="22" fillId="34" borderId="48" xfId="2985" applyFill="1" applyBorder="1" applyAlignment="1">
      <alignment horizontal="center" vertical="center" wrapText="1"/>
    </xf>
    <xf numFmtId="0" fontId="22" fillId="34" borderId="51" xfId="2979" applyNumberFormat="1" applyFont="1" applyFill="1" applyBorder="1" applyAlignment="1">
      <alignment horizontal="center" vertical="center" wrapText="1"/>
    </xf>
    <xf numFmtId="0" fontId="22" fillId="68" borderId="73" xfId="2985" applyFill="1" applyBorder="1" applyAlignment="1">
      <alignment horizontal="center" vertical="center" wrapText="1"/>
    </xf>
    <xf numFmtId="0" fontId="22" fillId="68" borderId="48" xfId="2985" applyFill="1" applyBorder="1" applyAlignment="1">
      <alignment horizontal="center" vertical="center" wrapText="1"/>
    </xf>
    <xf numFmtId="0" fontId="22" fillId="68" borderId="51" xfId="2979" applyNumberFormat="1" applyFont="1" applyFill="1" applyBorder="1" applyAlignment="1">
      <alignment horizontal="center" vertical="center" wrapText="1"/>
    </xf>
    <xf numFmtId="2" fontId="20" fillId="72" borderId="2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textRotation="90"/>
    </xf>
    <xf numFmtId="0" fontId="20" fillId="33" borderId="45" xfId="0" applyFont="1" applyFill="1" applyBorder="1" applyAlignment="1">
      <alignment horizontal="center" vertical="center" wrapText="1"/>
    </xf>
    <xf numFmtId="3" fontId="20" fillId="0" borderId="0" xfId="2804" applyNumberFormat="1" applyFont="1" applyAlignment="1">
      <alignment horizontal="center" vertical="center" textRotation="90" wrapText="1"/>
    </xf>
    <xf numFmtId="0" fontId="22" fillId="75" borderId="0" xfId="0" applyFont="1" applyFill="1" applyAlignment="1">
      <alignment horizontal="center" wrapText="1"/>
    </xf>
    <xf numFmtId="43" fontId="22" fillId="0" borderId="12" xfId="2979" applyFont="1" applyBorder="1" applyAlignment="1">
      <alignment vertical="center"/>
    </xf>
    <xf numFmtId="164" fontId="22" fillId="69" borderId="46" xfId="2979" applyNumberFormat="1" applyFont="1" applyFill="1" applyBorder="1" applyAlignment="1">
      <alignment vertical="center"/>
    </xf>
    <xf numFmtId="166" fontId="22" fillId="69" borderId="12" xfId="2979" applyNumberFormat="1" applyFont="1" applyFill="1" applyBorder="1" applyAlignment="1">
      <alignment vertical="center"/>
    </xf>
    <xf numFmtId="166" fontId="22" fillId="69" borderId="13" xfId="2979" applyNumberFormat="1" applyFont="1" applyFill="1" applyBorder="1" applyAlignment="1">
      <alignment vertical="center"/>
    </xf>
    <xf numFmtId="166" fontId="22" fillId="69" borderId="10" xfId="297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22" fillId="70" borderId="46" xfId="2979" applyNumberFormat="1" applyFont="1" applyFill="1" applyBorder="1" applyAlignment="1">
      <alignment vertical="center"/>
    </xf>
    <xf numFmtId="166" fontId="22" fillId="70" borderId="13" xfId="2979" applyNumberFormat="1" applyFont="1" applyFill="1" applyBorder="1" applyAlignment="1">
      <alignment vertical="center"/>
    </xf>
    <xf numFmtId="164" fontId="22" fillId="34" borderId="44" xfId="2979" applyNumberFormat="1" applyFont="1" applyFill="1" applyBorder="1" applyAlignment="1">
      <alignment horizontal="center" vertical="center"/>
    </xf>
    <xf numFmtId="167" fontId="22" fillId="34" borderId="45" xfId="2979" applyNumberFormat="1" applyFont="1" applyFill="1" applyBorder="1" applyAlignment="1">
      <alignment horizontal="center" vertical="center"/>
    </xf>
    <xf numFmtId="166" fontId="22" fillId="34" borderId="65" xfId="2979" applyNumberFormat="1" applyFont="1" applyFill="1" applyBorder="1" applyAlignment="1">
      <alignment horizontal="center" vertical="center"/>
    </xf>
    <xf numFmtId="164" fontId="22" fillId="68" borderId="45" xfId="2979" applyNumberFormat="1" applyFont="1" applyFill="1" applyBorder="1" applyAlignment="1">
      <alignment horizontal="center" vertical="center"/>
    </xf>
    <xf numFmtId="166" fontId="22" fillId="68" borderId="45" xfId="2979" applyNumberFormat="1" applyFont="1" applyFill="1" applyBorder="1" applyAlignment="1">
      <alignment horizontal="center" vertical="center"/>
    </xf>
    <xf numFmtId="166" fontId="22" fillId="68" borderId="65" xfId="2979" applyNumberFormat="1" applyFont="1" applyFill="1" applyBorder="1" applyAlignment="1">
      <alignment horizontal="center" vertical="center"/>
    </xf>
    <xf numFmtId="164" fontId="22" fillId="72" borderId="24" xfId="2979" applyNumberFormat="1" applyFont="1" applyFill="1" applyBorder="1" applyAlignment="1" applyProtection="1">
      <alignment horizontal="center" vertical="center" wrapText="1"/>
    </xf>
    <xf numFmtId="164" fontId="22" fillId="69" borderId="77" xfId="2249" applyNumberFormat="1" applyFont="1" applyFill="1" applyBorder="1" applyAlignment="1" applyProtection="1">
      <alignment horizontal="right" vertical="center" wrapText="1"/>
    </xf>
    <xf numFmtId="164" fontId="22" fillId="74" borderId="78" xfId="2249" applyNumberFormat="1" applyFont="1" applyFill="1" applyBorder="1" applyAlignment="1">
      <alignment vertical="center"/>
    </xf>
    <xf numFmtId="164" fontId="22" fillId="34" borderId="78" xfId="2249" applyNumberFormat="1" applyFont="1" applyFill="1" applyBorder="1" applyAlignment="1">
      <alignment vertical="center"/>
    </xf>
    <xf numFmtId="164" fontId="22" fillId="33" borderId="43" xfId="2979" applyNumberFormat="1" applyFont="1" applyFill="1" applyBorder="1" applyAlignment="1">
      <alignment horizontal="center"/>
    </xf>
    <xf numFmtId="0" fontId="22" fillId="0" borderId="0" xfId="2804" applyFont="1" applyAlignment="1">
      <alignment horizontal="center"/>
    </xf>
    <xf numFmtId="164" fontId="22" fillId="76" borderId="0" xfId="0" applyNumberFormat="1" applyFont="1" applyFill="1"/>
    <xf numFmtId="43" fontId="22" fillId="0" borderId="12" xfId="2979" applyFont="1" applyFill="1" applyBorder="1" applyAlignment="1">
      <alignment vertical="center"/>
    </xf>
    <xf numFmtId="43" fontId="60" fillId="0" borderId="12" xfId="2979" applyFont="1" applyFill="1" applyBorder="1" applyAlignment="1">
      <alignment horizontal="center" vertical="center"/>
    </xf>
    <xf numFmtId="43" fontId="22" fillId="0" borderId="12" xfId="2979" applyFont="1" applyBorder="1" applyAlignment="1">
      <alignment horizontal="center" vertical="center"/>
    </xf>
    <xf numFmtId="43" fontId="22" fillId="0" borderId="12" xfId="2979" applyFont="1" applyFill="1" applyBorder="1" applyAlignment="1">
      <alignment horizontal="center" vertical="center"/>
    </xf>
    <xf numFmtId="0" fontId="22" fillId="68" borderId="45" xfId="2979" applyNumberFormat="1" applyFont="1" applyFill="1" applyBorder="1" applyAlignment="1">
      <alignment horizontal="center" vertical="center"/>
    </xf>
    <xf numFmtId="43" fontId="19" fillId="0" borderId="12" xfId="2979" applyFont="1" applyBorder="1" applyAlignment="1">
      <alignment horizontal="center" vertical="center"/>
    </xf>
    <xf numFmtId="43" fontId="19" fillId="0" borderId="12" xfId="2979" applyFont="1" applyBorder="1" applyAlignment="1">
      <alignment vertical="center"/>
    </xf>
    <xf numFmtId="0" fontId="0" fillId="77" borderId="0" xfId="0" applyFill="1"/>
    <xf numFmtId="0" fontId="0" fillId="77" borderId="0" xfId="0" applyFill="1" applyAlignment="1">
      <alignment horizontal="center"/>
    </xf>
    <xf numFmtId="0" fontId="22" fillId="33" borderId="26" xfId="0" applyFont="1" applyFill="1" applyBorder="1" applyAlignment="1">
      <alignment horizontal="right"/>
    </xf>
    <xf numFmtId="166" fontId="20" fillId="34" borderId="13" xfId="2979" applyNumberFormat="1" applyFont="1" applyFill="1" applyBorder="1" applyAlignment="1">
      <alignment vertical="center"/>
    </xf>
    <xf numFmtId="3" fontId="20" fillId="0" borderId="79" xfId="0" applyNumberFormat="1" applyFont="1" applyBorder="1" applyAlignment="1">
      <alignment horizontal="center" vertical="center"/>
    </xf>
    <xf numFmtId="3" fontId="20" fillId="69" borderId="79" xfId="0" applyNumberFormat="1" applyFont="1" applyFill="1" applyBorder="1" applyAlignment="1">
      <alignment horizontal="center" vertical="center"/>
    </xf>
    <xf numFmtId="1" fontId="20" fillId="74" borderId="79" xfId="2249" applyNumberFormat="1" applyFont="1" applyFill="1" applyBorder="1" applyAlignment="1">
      <alignment horizontal="center" vertical="center"/>
    </xf>
    <xf numFmtId="3" fontId="20" fillId="34" borderId="7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0" fillId="0" borderId="0" xfId="2804" applyFont="1" applyAlignment="1">
      <alignment horizontal="center"/>
    </xf>
    <xf numFmtId="0" fontId="20" fillId="33" borderId="0" xfId="0" applyFont="1" applyFill="1" applyAlignment="1">
      <alignment horizontal="center"/>
    </xf>
    <xf numFmtId="3" fontId="67" fillId="69" borderId="46" xfId="2985" applyNumberFormat="1" applyFont="1" applyFill="1" applyBorder="1" applyAlignment="1">
      <alignment vertical="center"/>
    </xf>
    <xf numFmtId="43" fontId="22" fillId="0" borderId="10" xfId="2979" applyFont="1" applyFill="1" applyBorder="1" applyAlignment="1">
      <alignment horizontal="center" vertical="center"/>
    </xf>
    <xf numFmtId="0" fontId="0" fillId="0" borderId="10" xfId="0" applyBorder="1"/>
    <xf numFmtId="3" fontId="67" fillId="70" borderId="46" xfId="2985" applyNumberFormat="1" applyFont="1" applyFill="1" applyBorder="1" applyAlignment="1">
      <alignment vertical="center"/>
    </xf>
    <xf numFmtId="43" fontId="22" fillId="0" borderId="13" xfId="2979" applyFont="1" applyFill="1" applyBorder="1" applyAlignment="1">
      <alignment vertical="center"/>
    </xf>
    <xf numFmtId="3" fontId="67" fillId="34" borderId="46" xfId="2985" applyNumberFormat="1" applyFont="1" applyFill="1" applyBorder="1" applyAlignment="1">
      <alignment horizontal="center" vertical="center"/>
    </xf>
    <xf numFmtId="3" fontId="67" fillId="68" borderId="46" xfId="2985" applyNumberFormat="1" applyFont="1" applyFill="1" applyBorder="1" applyAlignment="1">
      <alignment horizontal="center" vertical="center"/>
    </xf>
    <xf numFmtId="164" fontId="20" fillId="33" borderId="43" xfId="2979" applyNumberFormat="1" applyFont="1" applyFill="1" applyBorder="1" applyAlignment="1">
      <alignment horizontal="center" vertical="center"/>
    </xf>
    <xf numFmtId="164" fontId="68" fillId="69" borderId="72" xfId="2249" applyNumberFormat="1" applyFont="1" applyFill="1" applyBorder="1" applyAlignment="1">
      <alignment horizontal="center" vertical="center"/>
    </xf>
    <xf numFmtId="164" fontId="68" fillId="74" borderId="72" xfId="2249" applyNumberFormat="1" applyFont="1" applyFill="1" applyBorder="1" applyAlignment="1">
      <alignment horizontal="center" vertical="center"/>
    </xf>
    <xf numFmtId="164" fontId="68" fillId="34" borderId="72" xfId="2249" applyNumberFormat="1" applyFont="1" applyFill="1" applyBorder="1" applyAlignment="1">
      <alignment horizontal="center" vertical="center"/>
    </xf>
    <xf numFmtId="164" fontId="20" fillId="33" borderId="43" xfId="2979" applyNumberFormat="1" applyFont="1" applyFill="1" applyBorder="1" applyAlignment="1">
      <alignment horizontal="center"/>
    </xf>
    <xf numFmtId="164" fontId="68" fillId="76" borderId="72" xfId="2249" applyNumberFormat="1" applyFont="1" applyFill="1" applyBorder="1" applyAlignment="1">
      <alignment horizontal="center" vertical="center"/>
    </xf>
    <xf numFmtId="0" fontId="22" fillId="77" borderId="0" xfId="0" applyFont="1" applyFill="1"/>
    <xf numFmtId="0" fontId="22" fillId="77" borderId="0" xfId="0" applyFont="1" applyFill="1" applyAlignment="1">
      <alignment horizontal="center"/>
    </xf>
    <xf numFmtId="0" fontId="69" fillId="0" borderId="0" xfId="2804" applyFont="1"/>
    <xf numFmtId="166" fontId="20" fillId="33" borderId="0" xfId="0" applyNumberFormat="1" applyFont="1" applyFill="1" applyAlignment="1">
      <alignment horizontal="center"/>
    </xf>
    <xf numFmtId="166" fontId="22" fillId="0" borderId="12" xfId="2985" applyNumberFormat="1" applyBorder="1" applyAlignment="1">
      <alignment vertical="center"/>
    </xf>
    <xf numFmtId="166" fontId="22" fillId="0" borderId="46" xfId="2985" applyNumberFormat="1" applyBorder="1" applyAlignment="1">
      <alignment vertical="center"/>
    </xf>
    <xf numFmtId="43" fontId="20" fillId="69" borderId="13" xfId="2979" applyFont="1" applyFill="1" applyBorder="1" applyAlignment="1">
      <alignment vertical="center"/>
    </xf>
    <xf numFmtId="166" fontId="20" fillId="69" borderId="13" xfId="2979" applyNumberFormat="1" applyFont="1" applyFill="1" applyBorder="1" applyAlignment="1">
      <alignment vertical="center"/>
    </xf>
    <xf numFmtId="166" fontId="20" fillId="69" borderId="10" xfId="2979" applyNumberFormat="1" applyFont="1" applyFill="1" applyBorder="1" applyAlignment="1">
      <alignment horizontal="center" vertical="center"/>
    </xf>
    <xf numFmtId="166" fontId="0" fillId="0" borderId="10" xfId="0" applyNumberFormat="1" applyBorder="1"/>
    <xf numFmtId="43" fontId="20" fillId="70" borderId="12" xfId="2979" applyFont="1" applyFill="1" applyBorder="1" applyAlignment="1">
      <alignment vertical="center"/>
    </xf>
    <xf numFmtId="166" fontId="20" fillId="70" borderId="12" xfId="2979" applyNumberFormat="1" applyFont="1" applyFill="1" applyBorder="1" applyAlignment="1">
      <alignment vertical="center"/>
    </xf>
    <xf numFmtId="166" fontId="22" fillId="0" borderId="46" xfId="2985" applyNumberFormat="1" applyBorder="1" applyAlignment="1">
      <alignment horizontal="center" vertical="center"/>
    </xf>
    <xf numFmtId="43" fontId="20" fillId="34" borderId="13" xfId="2979" applyFont="1" applyFill="1" applyBorder="1" applyAlignment="1">
      <alignment vertical="center"/>
    </xf>
    <xf numFmtId="166" fontId="22" fillId="0" borderId="10" xfId="2985" applyNumberFormat="1" applyBorder="1" applyAlignment="1">
      <alignment horizontal="center" vertical="center"/>
    </xf>
    <xf numFmtId="43" fontId="20" fillId="68" borderId="13" xfId="2979" applyFont="1" applyFill="1" applyBorder="1" applyAlignment="1">
      <alignment vertical="center"/>
    </xf>
    <xf numFmtId="166" fontId="20" fillId="68" borderId="13" xfId="2979" applyNumberFormat="1" applyFont="1" applyFill="1" applyBorder="1" applyAlignment="1">
      <alignment vertical="center"/>
    </xf>
    <xf numFmtId="166" fontId="22" fillId="77" borderId="0" xfId="0" applyNumberFormat="1" applyFont="1" applyFill="1"/>
    <xf numFmtId="166" fontId="22" fillId="77" borderId="0" xfId="0" applyNumberFormat="1" applyFont="1" applyFill="1" applyAlignment="1">
      <alignment horizontal="center"/>
    </xf>
    <xf numFmtId="166" fontId="22" fillId="0" borderId="10" xfId="2985" applyNumberFormat="1" applyBorder="1" applyAlignment="1">
      <alignment vertical="center"/>
    </xf>
    <xf numFmtId="165" fontId="0" fillId="0" borderId="0" xfId="2978" applyNumberFormat="1" applyFont="1"/>
    <xf numFmtId="166" fontId="60" fillId="0" borderId="45" xfId="2979" applyNumberFormat="1" applyFont="1" applyBorder="1"/>
    <xf numFmtId="164" fontId="70" fillId="69" borderId="46" xfId="2979" applyNumberFormat="1" applyFont="1" applyFill="1" applyBorder="1"/>
    <xf numFmtId="166" fontId="60" fillId="0" borderId="10" xfId="0" applyNumberFormat="1" applyFont="1" applyBorder="1"/>
    <xf numFmtId="164" fontId="71" fillId="70" borderId="44" xfId="2979" applyNumberFormat="1" applyFont="1" applyFill="1" applyBorder="1"/>
    <xf numFmtId="164" fontId="70" fillId="34" borderId="44" xfId="2979" applyNumberFormat="1" applyFont="1" applyFill="1" applyBorder="1" applyAlignment="1">
      <alignment horizontal="center"/>
    </xf>
    <xf numFmtId="164" fontId="70" fillId="68" borderId="44" xfId="2979" applyNumberFormat="1" applyFont="1" applyFill="1" applyBorder="1" applyAlignment="1">
      <alignment horizontal="center"/>
    </xf>
    <xf numFmtId="164" fontId="71" fillId="70" borderId="45" xfId="2979" applyNumberFormat="1" applyFont="1" applyFill="1" applyBorder="1"/>
    <xf numFmtId="166" fontId="60" fillId="0" borderId="12" xfId="2979" applyNumberFormat="1" applyFont="1" applyBorder="1"/>
    <xf numFmtId="164" fontId="70" fillId="34" borderId="46" xfId="2979" applyNumberFormat="1" applyFont="1" applyFill="1" applyBorder="1" applyAlignment="1">
      <alignment horizontal="center"/>
    </xf>
    <xf numFmtId="164" fontId="70" fillId="68" borderId="46" xfId="2979" applyNumberFormat="1" applyFont="1" applyFill="1" applyBorder="1" applyAlignment="1">
      <alignment horizontal="center"/>
    </xf>
    <xf numFmtId="164" fontId="70" fillId="69" borderId="73" xfId="2979" applyNumberFormat="1" applyFont="1" applyFill="1" applyBorder="1"/>
    <xf numFmtId="164" fontId="70" fillId="34" borderId="73" xfId="2979" applyNumberFormat="1" applyFont="1" applyFill="1" applyBorder="1" applyAlignment="1">
      <alignment horizontal="center"/>
    </xf>
    <xf numFmtId="164" fontId="70" fillId="68" borderId="73" xfId="2979" applyNumberFormat="1" applyFont="1" applyFill="1" applyBorder="1" applyAlignment="1">
      <alignment horizontal="center"/>
    </xf>
    <xf numFmtId="166" fontId="60" fillId="0" borderId="23" xfId="2979" applyNumberFormat="1" applyFont="1" applyBorder="1"/>
    <xf numFmtId="0" fontId="72" fillId="0" borderId="0" xfId="0" applyFont="1"/>
    <xf numFmtId="0" fontId="0" fillId="0" borderId="23" xfId="0" applyBorder="1"/>
    <xf numFmtId="0" fontId="60" fillId="0" borderId="0" xfId="0" applyFont="1"/>
    <xf numFmtId="0" fontId="60" fillId="0" borderId="0" xfId="0" applyFont="1" applyAlignment="1">
      <alignment horizontal="left"/>
    </xf>
    <xf numFmtId="0" fontId="22" fillId="0" borderId="23" xfId="0" applyFont="1" applyBorder="1"/>
    <xf numFmtId="165" fontId="22" fillId="0" borderId="0" xfId="2978" applyNumberFormat="1" applyFont="1" applyBorder="1"/>
    <xf numFmtId="0" fontId="22" fillId="0" borderId="10" xfId="0" applyFont="1" applyBorder="1"/>
    <xf numFmtId="43" fontId="0" fillId="0" borderId="0" xfId="0" applyNumberFormat="1" applyAlignment="1">
      <alignment horizontal="center"/>
    </xf>
    <xf numFmtId="164" fontId="0" fillId="0" borderId="0" xfId="0" applyNumberFormat="1"/>
    <xf numFmtId="0" fontId="57" fillId="0" borderId="0" xfId="0" applyFont="1"/>
    <xf numFmtId="0" fontId="24" fillId="0" borderId="0" xfId="0" applyFont="1" applyAlignment="1">
      <alignment horizontal="center"/>
    </xf>
    <xf numFmtId="3" fontId="20" fillId="0" borderId="49" xfId="0" applyNumberFormat="1" applyFont="1" applyBorder="1" applyAlignment="1">
      <alignment horizontal="center" textRotation="90" wrapText="1"/>
    </xf>
    <xf numFmtId="2" fontId="20" fillId="33" borderId="81" xfId="0" applyNumberFormat="1" applyFont="1" applyFill="1" applyBorder="1" applyAlignment="1">
      <alignment horizontal="center" vertical="center" wrapText="1"/>
    </xf>
    <xf numFmtId="2" fontId="20" fillId="33" borderId="23" xfId="0" applyNumberFormat="1" applyFont="1" applyFill="1" applyBorder="1" applyAlignment="1">
      <alignment horizontal="center" vertical="center" wrapText="1"/>
    </xf>
    <xf numFmtId="2" fontId="20" fillId="0" borderId="43" xfId="0" applyNumberFormat="1" applyFont="1" applyBorder="1" applyAlignment="1">
      <alignment horizontal="center" vertical="center" wrapText="1"/>
    </xf>
    <xf numFmtId="2" fontId="20" fillId="33" borderId="12" xfId="247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horizontal="right" wrapText="1"/>
    </xf>
    <xf numFmtId="164" fontId="22" fillId="66" borderId="22" xfId="2979" applyNumberFormat="1" applyFont="1" applyFill="1" applyBorder="1" applyAlignment="1"/>
    <xf numFmtId="164" fontId="22" fillId="66" borderId="0" xfId="0" applyNumberFormat="1" applyFont="1" applyFill="1"/>
    <xf numFmtId="164" fontId="53" fillId="0" borderId="0" xfId="2979" applyNumberFormat="1" applyFont="1" applyAlignment="1">
      <alignment vertical="center"/>
    </xf>
    <xf numFmtId="164" fontId="22" fillId="0" borderId="0" xfId="2979" applyNumberFormat="1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164" fontId="44" fillId="0" borderId="14" xfId="0" applyNumberFormat="1" applyFont="1" applyBorder="1" applyAlignment="1">
      <alignment horizontal="center"/>
    </xf>
    <xf numFmtId="0" fontId="60" fillId="0" borderId="10" xfId="0" applyFont="1" applyBorder="1"/>
    <xf numFmtId="0" fontId="45" fillId="0" borderId="0" xfId="0" applyFont="1" applyAlignment="1">
      <alignment horizontal="right"/>
    </xf>
    <xf numFmtId="43" fontId="45" fillId="0" borderId="0" xfId="2979" applyFont="1" applyFill="1" applyBorder="1" applyAlignment="1">
      <alignment horizontal="center"/>
    </xf>
    <xf numFmtId="164" fontId="45" fillId="78" borderId="0" xfId="2979" applyNumberFormat="1" applyFont="1" applyFill="1" applyBorder="1" applyAlignment="1">
      <alignment horizontal="center"/>
    </xf>
    <xf numFmtId="0" fontId="22" fillId="64" borderId="10" xfId="0" applyFont="1" applyFill="1" applyBorder="1"/>
    <xf numFmtId="0" fontId="22" fillId="64" borderId="0" xfId="0" applyFont="1" applyFill="1"/>
    <xf numFmtId="164" fontId="22" fillId="64" borderId="0" xfId="0" applyNumberFormat="1" applyFont="1" applyFill="1" applyAlignment="1">
      <alignment horizontal="center"/>
    </xf>
    <xf numFmtId="164" fontId="22" fillId="64" borderId="0" xfId="0" applyNumberFormat="1" applyFont="1" applyFill="1"/>
    <xf numFmtId="165" fontId="22" fillId="64" borderId="0" xfId="2978" applyNumberFormat="1" applyFont="1" applyFill="1"/>
    <xf numFmtId="164" fontId="44" fillId="64" borderId="14" xfId="0" applyNumberFormat="1" applyFont="1" applyFill="1" applyBorder="1" applyAlignment="1">
      <alignment horizontal="center"/>
    </xf>
    <xf numFmtId="0" fontId="20" fillId="64" borderId="0" xfId="0" applyFont="1" applyFill="1"/>
    <xf numFmtId="0" fontId="60" fillId="64" borderId="10" xfId="0" applyFont="1" applyFill="1" applyBorder="1"/>
    <xf numFmtId="0" fontId="60" fillId="64" borderId="0" xfId="0" applyFont="1" applyFill="1"/>
    <xf numFmtId="0" fontId="22" fillId="66" borderId="10" xfId="0" applyFont="1" applyFill="1" applyBorder="1"/>
    <xf numFmtId="0" fontId="22" fillId="66" borderId="0" xfId="0" applyFont="1" applyFill="1"/>
    <xf numFmtId="0" fontId="22" fillId="66" borderId="0" xfId="0" applyFont="1" applyFill="1" applyAlignment="1">
      <alignment horizontal="center"/>
    </xf>
    <xf numFmtId="164" fontId="22" fillId="66" borderId="0" xfId="0" applyNumberFormat="1" applyFont="1" applyFill="1" applyAlignment="1">
      <alignment horizontal="center"/>
    </xf>
    <xf numFmtId="165" fontId="22" fillId="66" borderId="0" xfId="2978" applyNumberFormat="1" applyFont="1" applyFill="1"/>
    <xf numFmtId="164" fontId="44" fillId="66" borderId="14" xfId="0" applyNumberFormat="1" applyFont="1" applyFill="1" applyBorder="1" applyAlignment="1">
      <alignment horizontal="center"/>
    </xf>
    <xf numFmtId="0" fontId="20" fillId="66" borderId="0" xfId="0" applyFont="1" applyFill="1"/>
    <xf numFmtId="0" fontId="60" fillId="66" borderId="10" xfId="0" applyFont="1" applyFill="1" applyBorder="1"/>
    <xf numFmtId="0" fontId="60" fillId="66" borderId="0" xfId="0" applyFont="1" applyFill="1"/>
    <xf numFmtId="0" fontId="22" fillId="58" borderId="10" xfId="0" applyFont="1" applyFill="1" applyBorder="1"/>
    <xf numFmtId="0" fontId="22" fillId="58" borderId="0" xfId="0" applyFont="1" applyFill="1" applyAlignment="1">
      <alignment horizontal="center"/>
    </xf>
    <xf numFmtId="164" fontId="22" fillId="58" borderId="0" xfId="0" applyNumberFormat="1" applyFont="1" applyFill="1" applyAlignment="1">
      <alignment horizontal="center"/>
    </xf>
    <xf numFmtId="164" fontId="22" fillId="58" borderId="0" xfId="0" applyNumberFormat="1" applyFont="1" applyFill="1"/>
    <xf numFmtId="43" fontId="22" fillId="58" borderId="0" xfId="2979" applyFont="1" applyFill="1"/>
    <xf numFmtId="0" fontId="20" fillId="58" borderId="0" xfId="0" applyFont="1" applyFill="1"/>
    <xf numFmtId="0" fontId="60" fillId="58" borderId="10" xfId="0" applyFont="1" applyFill="1" applyBorder="1"/>
    <xf numFmtId="9" fontId="0" fillId="0" borderId="0" xfId="2978" applyFont="1"/>
    <xf numFmtId="169" fontId="0" fillId="0" borderId="0" xfId="2979" applyNumberFormat="1" applyFont="1" applyFill="1"/>
    <xf numFmtId="0" fontId="22" fillId="59" borderId="10" xfId="0" applyFont="1" applyFill="1" applyBorder="1"/>
    <xf numFmtId="0" fontId="22" fillId="59" borderId="0" xfId="0" applyFont="1" applyFill="1" applyAlignment="1">
      <alignment horizontal="center"/>
    </xf>
    <xf numFmtId="164" fontId="22" fillId="59" borderId="0" xfId="0" applyNumberFormat="1" applyFont="1" applyFill="1" applyAlignment="1">
      <alignment horizontal="center"/>
    </xf>
    <xf numFmtId="164" fontId="44" fillId="59" borderId="14" xfId="0" applyNumberFormat="1" applyFont="1" applyFill="1" applyBorder="1" applyAlignment="1">
      <alignment horizontal="center"/>
    </xf>
    <xf numFmtId="0" fontId="20" fillId="59" borderId="0" xfId="0" applyFont="1" applyFill="1"/>
    <xf numFmtId="0" fontId="60" fillId="59" borderId="10" xfId="0" applyFont="1" applyFill="1" applyBorder="1"/>
    <xf numFmtId="0" fontId="60" fillId="59" borderId="0" xfId="0" applyFont="1" applyFill="1"/>
    <xf numFmtId="164" fontId="44" fillId="67" borderId="14" xfId="0" applyNumberFormat="1" applyFont="1" applyFill="1" applyBorder="1" applyAlignment="1">
      <alignment horizontal="center"/>
    </xf>
    <xf numFmtId="0" fontId="20" fillId="67" borderId="0" xfId="0" applyFont="1" applyFill="1"/>
    <xf numFmtId="0" fontId="22" fillId="67" borderId="0" xfId="0" applyFont="1" applyFill="1"/>
    <xf numFmtId="0" fontId="20" fillId="67" borderId="0" xfId="2470" applyFont="1" applyFill="1" applyAlignment="1">
      <alignment horizontal="center"/>
    </xf>
    <xf numFmtId="0" fontId="0" fillId="58" borderId="0" xfId="0" applyFill="1"/>
    <xf numFmtId="0" fontId="0" fillId="58" borderId="0" xfId="0" applyFill="1" applyAlignment="1">
      <alignment horizontal="center"/>
    </xf>
    <xf numFmtId="0" fontId="20" fillId="58" borderId="0" xfId="0" applyFont="1" applyFill="1" applyAlignment="1">
      <alignment horizontal="center"/>
    </xf>
    <xf numFmtId="0" fontId="43" fillId="33" borderId="0" xfId="2470" applyFont="1" applyFill="1"/>
    <xf numFmtId="2" fontId="20" fillId="0" borderId="0" xfId="2470" applyNumberFormat="1" applyFont="1" applyAlignment="1">
      <alignment horizontal="center" vertical="center" wrapText="1"/>
    </xf>
    <xf numFmtId="3" fontId="22" fillId="0" borderId="0" xfId="2470" applyNumberFormat="1" applyFont="1" applyAlignment="1">
      <alignment horizontal="right" wrapText="1"/>
    </xf>
    <xf numFmtId="43" fontId="19" fillId="0" borderId="0" xfId="2470" applyNumberFormat="1"/>
    <xf numFmtId="43" fontId="22" fillId="0" borderId="0" xfId="2979" applyFont="1"/>
    <xf numFmtId="164" fontId="22" fillId="0" borderId="0" xfId="2978" applyNumberFormat="1" applyFont="1"/>
    <xf numFmtId="0" fontId="50" fillId="0" borderId="0" xfId="2983"/>
    <xf numFmtId="9" fontId="19" fillId="0" borderId="0" xfId="2978" applyFont="1" applyFill="1" applyAlignment="1">
      <alignment horizontal="center"/>
    </xf>
    <xf numFmtId="0" fontId="74" fillId="0" borderId="0" xfId="2470" applyFont="1" applyAlignment="1">
      <alignment horizontal="center"/>
    </xf>
    <xf numFmtId="0" fontId="74" fillId="33" borderId="22" xfId="2470" applyFont="1" applyFill="1" applyBorder="1" applyAlignment="1">
      <alignment horizontal="center"/>
    </xf>
    <xf numFmtId="0" fontId="75" fillId="33" borderId="22" xfId="2470" applyFont="1" applyFill="1" applyBorder="1" applyAlignment="1">
      <alignment horizontal="center"/>
    </xf>
    <xf numFmtId="164" fontId="75" fillId="33" borderId="22" xfId="2977" applyNumberFormat="1" applyFont="1" applyFill="1" applyBorder="1"/>
    <xf numFmtId="165" fontId="76" fillId="33" borderId="22" xfId="2978" applyNumberFormat="1" applyFont="1" applyFill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78" fillId="0" borderId="0" xfId="2470" applyFont="1" applyAlignment="1">
      <alignment horizontal="center"/>
    </xf>
    <xf numFmtId="0" fontId="79" fillId="0" borderId="0" xfId="2470" applyFont="1" applyAlignment="1">
      <alignment horizontal="center"/>
    </xf>
    <xf numFmtId="0" fontId="78" fillId="0" borderId="22" xfId="2470" applyFont="1" applyBorder="1" applyAlignment="1">
      <alignment horizontal="center"/>
    </xf>
    <xf numFmtId="164" fontId="75" fillId="0" borderId="22" xfId="2977" applyNumberFormat="1" applyFont="1" applyBorder="1" applyAlignment="1">
      <alignment horizontal="center" vertical="center" wrapText="1"/>
    </xf>
    <xf numFmtId="164" fontId="78" fillId="0" borderId="22" xfId="2977" applyNumberFormat="1" applyFont="1" applyBorder="1" applyAlignment="1">
      <alignment horizontal="center"/>
    </xf>
    <xf numFmtId="0" fontId="22" fillId="0" borderId="0" xfId="2470" applyFont="1" applyAlignment="1">
      <alignment horizontal="center" vertical="center"/>
    </xf>
    <xf numFmtId="0" fontId="80" fillId="0" borderId="22" xfId="2470" applyFont="1" applyBorder="1" applyAlignment="1">
      <alignment horizontal="right"/>
    </xf>
    <xf numFmtId="164" fontId="74" fillId="0" borderId="22" xfId="2977" applyNumberFormat="1" applyFont="1" applyBorder="1"/>
    <xf numFmtId="165" fontId="81" fillId="0" borderId="22" xfId="2978" applyNumberFormat="1" applyFont="1" applyBorder="1" applyAlignment="1">
      <alignment horizontal="right"/>
    </xf>
    <xf numFmtId="164" fontId="75" fillId="33" borderId="22" xfId="2470" applyNumberFormat="1" applyFont="1" applyFill="1" applyBorder="1" applyAlignment="1">
      <alignment horizontal="center" vertical="center"/>
    </xf>
    <xf numFmtId="0" fontId="81" fillId="0" borderId="0" xfId="2470" applyFont="1" applyAlignment="1">
      <alignment horizontal="center"/>
    </xf>
    <xf numFmtId="164" fontId="81" fillId="0" borderId="0" xfId="2470" applyNumberFormat="1" applyFont="1" applyAlignment="1">
      <alignment horizontal="center"/>
    </xf>
    <xf numFmtId="164" fontId="81" fillId="0" borderId="0" xfId="2977" applyNumberFormat="1" applyFont="1" applyBorder="1" applyAlignment="1">
      <alignment horizontal="center"/>
    </xf>
    <xf numFmtId="0" fontId="75" fillId="33" borderId="0" xfId="2470" applyFont="1" applyFill="1" applyAlignment="1">
      <alignment horizontal="center"/>
    </xf>
    <xf numFmtId="0" fontId="78" fillId="0" borderId="0" xfId="2470" applyFont="1"/>
    <xf numFmtId="0" fontId="80" fillId="0" borderId="0" xfId="2470" applyFont="1" applyAlignment="1">
      <alignment horizontal="right"/>
    </xf>
    <xf numFmtId="164" fontId="74" fillId="0" borderId="0" xfId="2977" applyNumberFormat="1" applyFont="1"/>
    <xf numFmtId="165" fontId="81" fillId="0" borderId="0" xfId="2978" applyNumberFormat="1" applyFont="1" applyAlignment="1">
      <alignment horizontal="right"/>
    </xf>
    <xf numFmtId="0" fontId="78" fillId="0" borderId="22" xfId="2470" applyFont="1" applyBorder="1"/>
    <xf numFmtId="164" fontId="82" fillId="0" borderId="22" xfId="2977" applyNumberFormat="1" applyFont="1" applyBorder="1" applyAlignment="1">
      <alignment horizontal="center" vertical="center" wrapText="1"/>
    </xf>
    <xf numFmtId="164" fontId="78" fillId="0" borderId="22" xfId="2977" applyNumberFormat="1" applyFont="1" applyBorder="1" applyAlignment="1">
      <alignment horizontal="center" vertical="center" wrapText="1"/>
    </xf>
    <xf numFmtId="164" fontId="75" fillId="33" borderId="22" xfId="2470" applyNumberFormat="1" applyFont="1" applyFill="1" applyBorder="1"/>
    <xf numFmtId="164" fontId="78" fillId="0" borderId="0" xfId="2470" applyNumberFormat="1" applyFont="1"/>
    <xf numFmtId="0" fontId="83" fillId="0" borderId="22" xfId="2470" applyFont="1" applyBorder="1" applyAlignment="1">
      <alignment horizontal="right"/>
    </xf>
    <xf numFmtId="166" fontId="83" fillId="0" borderId="22" xfId="2470" applyNumberFormat="1" applyFont="1" applyBorder="1"/>
    <xf numFmtId="165" fontId="84" fillId="0" borderId="0" xfId="2978" applyNumberFormat="1" applyFont="1" applyAlignment="1">
      <alignment horizontal="center"/>
    </xf>
    <xf numFmtId="0" fontId="78" fillId="0" borderId="22" xfId="2470" applyFont="1" applyBorder="1" applyAlignment="1">
      <alignment horizontal="right"/>
    </xf>
    <xf numFmtId="166" fontId="78" fillId="0" borderId="22" xfId="2470" applyNumberFormat="1" applyFont="1" applyBorder="1"/>
    <xf numFmtId="43" fontId="78" fillId="0" borderId="22" xfId="2470" applyNumberFormat="1" applyFont="1" applyBorder="1"/>
    <xf numFmtId="0" fontId="85" fillId="0" borderId="0" xfId="2470" applyFont="1" applyAlignment="1">
      <alignment horizontal="center"/>
    </xf>
    <xf numFmtId="164" fontId="74" fillId="0" borderId="0" xfId="2977" applyNumberFormat="1" applyFont="1" applyBorder="1" applyAlignment="1">
      <alignment horizontal="center" vertical="center" wrapText="1"/>
    </xf>
    <xf numFmtId="164" fontId="77" fillId="0" borderId="0" xfId="2981" applyNumberFormat="1" applyFont="1"/>
    <xf numFmtId="0" fontId="75" fillId="33" borderId="22" xfId="2470" applyFont="1" applyFill="1" applyBorder="1"/>
    <xf numFmtId="164" fontId="86" fillId="0" borderId="0" xfId="2979" applyNumberFormat="1" applyFont="1" applyBorder="1" applyAlignment="1">
      <alignment horizontal="center" vertical="center" wrapText="1"/>
    </xf>
    <xf numFmtId="165" fontId="87" fillId="0" borderId="0" xfId="2980" applyNumberFormat="1" applyFont="1" applyAlignment="1">
      <alignment horizontal="right"/>
    </xf>
    <xf numFmtId="164" fontId="55" fillId="68" borderId="13" xfId="2979" applyNumberFormat="1" applyFont="1" applyFill="1" applyBorder="1" applyAlignment="1">
      <alignment vertical="center"/>
    </xf>
    <xf numFmtId="164" fontId="20" fillId="68" borderId="13" xfId="2979" applyNumberFormat="1" applyFont="1" applyFill="1" applyBorder="1" applyAlignment="1"/>
    <xf numFmtId="43" fontId="20" fillId="69" borderId="13" xfId="2979" applyNumberFormat="1" applyFont="1" applyFill="1" applyBorder="1" applyAlignment="1">
      <alignment vertical="center"/>
    </xf>
    <xf numFmtId="43" fontId="20" fillId="70" borderId="12" xfId="2979" applyNumberFormat="1" applyFont="1" applyFill="1" applyBorder="1" applyAlignment="1">
      <alignment vertical="center"/>
    </xf>
    <xf numFmtId="43" fontId="20" fillId="34" borderId="13" xfId="2979" applyNumberFormat="1" applyFont="1" applyFill="1" applyBorder="1" applyAlignment="1">
      <alignment vertical="center"/>
    </xf>
    <xf numFmtId="43" fontId="20" fillId="68" borderId="13" xfId="2979" applyNumberFormat="1" applyFont="1" applyFill="1" applyBorder="1" applyAlignment="1">
      <alignment vertical="center"/>
    </xf>
    <xf numFmtId="164" fontId="20" fillId="0" borderId="0" xfId="2470" applyNumberFormat="1" applyFont="1" applyAlignment="1">
      <alignment horizontal="center"/>
    </xf>
    <xf numFmtId="165" fontId="20" fillId="33" borderId="39" xfId="2982" quotePrefix="1" applyNumberFormat="1" applyFont="1" applyFill="1" applyBorder="1" applyAlignment="1">
      <alignment horizontal="center"/>
    </xf>
    <xf numFmtId="165" fontId="22" fillId="0" borderId="0" xfId="2982" applyNumberFormat="1" applyFont="1" applyAlignment="1">
      <alignment horizontal="center"/>
    </xf>
    <xf numFmtId="9" fontId="22" fillId="0" borderId="0" xfId="2982" applyFont="1"/>
    <xf numFmtId="43" fontId="22" fillId="0" borderId="0" xfId="1" applyFont="1"/>
    <xf numFmtId="10" fontId="22" fillId="0" borderId="0" xfId="2978" applyNumberFormat="1" applyFont="1" applyFill="1" applyAlignment="1">
      <alignment horizontal="center"/>
    </xf>
    <xf numFmtId="0" fontId="73" fillId="64" borderId="0" xfId="2470" applyFont="1" applyFill="1" applyAlignment="1">
      <alignment horizontal="left"/>
    </xf>
    <xf numFmtId="0" fontId="57" fillId="0" borderId="43" xfId="2470" applyFont="1" applyBorder="1" applyAlignment="1">
      <alignment horizontal="left" vertical="center" wrapText="1"/>
    </xf>
    <xf numFmtId="0" fontId="57" fillId="0" borderId="44" xfId="2470" applyFont="1" applyBorder="1" applyAlignment="1">
      <alignment horizontal="left" vertical="center" wrapText="1"/>
    </xf>
    <xf numFmtId="0" fontId="73" fillId="58" borderId="0" xfId="2470" applyFont="1" applyFill="1" applyAlignment="1">
      <alignment horizontal="left"/>
    </xf>
    <xf numFmtId="0" fontId="73" fillId="0" borderId="0" xfId="2470" applyFont="1" applyAlignment="1">
      <alignment horizontal="left"/>
    </xf>
    <xf numFmtId="0" fontId="44" fillId="68" borderId="55" xfId="0" applyFont="1" applyFill="1" applyBorder="1" applyAlignment="1">
      <alignment horizontal="center"/>
    </xf>
    <xf numFmtId="0" fontId="44" fillId="68" borderId="56" xfId="0" applyFont="1" applyFill="1" applyBorder="1" applyAlignment="1">
      <alignment horizontal="center"/>
    </xf>
    <xf numFmtId="0" fontId="44" fillId="68" borderId="57" xfId="0" applyFont="1" applyFill="1" applyBorder="1" applyAlignment="1">
      <alignment horizontal="center"/>
    </xf>
    <xf numFmtId="0" fontId="45" fillId="68" borderId="0" xfId="0" applyFont="1" applyFill="1" applyAlignment="1">
      <alignment horizontal="right"/>
    </xf>
    <xf numFmtId="0" fontId="45" fillId="58" borderId="0" xfId="0" applyFont="1" applyFill="1" applyAlignment="1">
      <alignment horizontal="right"/>
    </xf>
    <xf numFmtId="0" fontId="45" fillId="59" borderId="0" xfId="2470" applyFont="1" applyFill="1" applyAlignment="1">
      <alignment horizontal="right"/>
    </xf>
    <xf numFmtId="0" fontId="44" fillId="67" borderId="55" xfId="2470" applyFont="1" applyFill="1" applyBorder="1" applyAlignment="1">
      <alignment horizontal="center"/>
    </xf>
    <xf numFmtId="0" fontId="44" fillId="67" borderId="56" xfId="2470" applyFont="1" applyFill="1" applyBorder="1" applyAlignment="1">
      <alignment horizontal="center"/>
    </xf>
    <xf numFmtId="0" fontId="44" fillId="67" borderId="57" xfId="2470" applyFont="1" applyFill="1" applyBorder="1" applyAlignment="1">
      <alignment horizontal="center"/>
    </xf>
    <xf numFmtId="0" fontId="45" fillId="67" borderId="0" xfId="2470" applyFont="1" applyFill="1" applyAlignment="1">
      <alignment horizontal="right"/>
    </xf>
    <xf numFmtId="0" fontId="44" fillId="58" borderId="55" xfId="0" applyFont="1" applyFill="1" applyBorder="1" applyAlignment="1">
      <alignment horizontal="center"/>
    </xf>
    <xf numFmtId="0" fontId="44" fillId="58" borderId="56" xfId="0" applyFont="1" applyFill="1" applyBorder="1" applyAlignment="1">
      <alignment horizontal="center"/>
    </xf>
    <xf numFmtId="0" fontId="44" fillId="58" borderId="57" xfId="0" applyFont="1" applyFill="1" applyBorder="1" applyAlignment="1">
      <alignment horizontal="center"/>
    </xf>
    <xf numFmtId="0" fontId="45" fillId="66" borderId="0" xfId="2470" applyFont="1" applyFill="1" applyAlignment="1">
      <alignment horizontal="right"/>
    </xf>
    <xf numFmtId="0" fontId="44" fillId="58" borderId="55" xfId="2470" applyFont="1" applyFill="1" applyBorder="1" applyAlignment="1">
      <alignment horizontal="center"/>
    </xf>
    <xf numFmtId="0" fontId="44" fillId="58" borderId="56" xfId="2470" applyFont="1" applyFill="1" applyBorder="1" applyAlignment="1">
      <alignment horizontal="center"/>
    </xf>
    <xf numFmtId="0" fontId="44" fillId="58" borderId="57" xfId="2470" applyFont="1" applyFill="1" applyBorder="1" applyAlignment="1">
      <alignment horizontal="center"/>
    </xf>
    <xf numFmtId="0" fontId="45" fillId="58" borderId="0" xfId="2470" applyFont="1" applyFill="1" applyAlignment="1">
      <alignment horizontal="right"/>
    </xf>
    <xf numFmtId="0" fontId="44" fillId="59" borderId="55" xfId="2470" applyFont="1" applyFill="1" applyBorder="1" applyAlignment="1">
      <alignment horizontal="center"/>
    </xf>
    <xf numFmtId="0" fontId="44" fillId="59" borderId="56" xfId="2470" applyFont="1" applyFill="1" applyBorder="1" applyAlignment="1">
      <alignment horizontal="center"/>
    </xf>
    <xf numFmtId="0" fontId="44" fillId="59" borderId="57" xfId="2470" applyFont="1" applyFill="1" applyBorder="1" applyAlignment="1">
      <alignment horizontal="center"/>
    </xf>
    <xf numFmtId="0" fontId="45" fillId="0" borderId="0" xfId="2470" applyFont="1" applyAlignment="1">
      <alignment horizontal="right"/>
    </xf>
    <xf numFmtId="0" fontId="44" fillId="66" borderId="55" xfId="2470" applyFont="1" applyFill="1" applyBorder="1" applyAlignment="1">
      <alignment horizontal="center"/>
    </xf>
    <xf numFmtId="0" fontId="44" fillId="66" borderId="56" xfId="2470" applyFont="1" applyFill="1" applyBorder="1" applyAlignment="1">
      <alignment horizontal="center"/>
    </xf>
    <xf numFmtId="0" fontId="44" fillId="66" borderId="57" xfId="2470" applyFont="1" applyFill="1" applyBorder="1" applyAlignment="1">
      <alignment horizontal="center"/>
    </xf>
    <xf numFmtId="0" fontId="44" fillId="0" borderId="55" xfId="2470" applyFont="1" applyBorder="1" applyAlignment="1">
      <alignment horizontal="center"/>
    </xf>
    <xf numFmtId="0" fontId="44" fillId="0" borderId="56" xfId="2470" applyFont="1" applyBorder="1" applyAlignment="1">
      <alignment horizontal="center"/>
    </xf>
    <xf numFmtId="0" fontId="44" fillId="0" borderId="57" xfId="2470" applyFont="1" applyBorder="1" applyAlignment="1">
      <alignment horizontal="center"/>
    </xf>
    <xf numFmtId="0" fontId="44" fillId="65" borderId="55" xfId="2470" applyFont="1" applyFill="1" applyBorder="1" applyAlignment="1">
      <alignment horizontal="center"/>
    </xf>
    <xf numFmtId="0" fontId="44" fillId="65" borderId="56" xfId="2470" applyFont="1" applyFill="1" applyBorder="1" applyAlignment="1">
      <alignment horizontal="center"/>
    </xf>
    <xf numFmtId="0" fontId="44" fillId="65" borderId="57" xfId="2470" applyFont="1" applyFill="1" applyBorder="1" applyAlignment="1">
      <alignment horizontal="center"/>
    </xf>
    <xf numFmtId="0" fontId="45" fillId="65" borderId="0" xfId="2470" applyFont="1" applyFill="1" applyAlignment="1">
      <alignment horizontal="right"/>
    </xf>
    <xf numFmtId="0" fontId="43" fillId="33" borderId="45" xfId="2470" applyFont="1" applyFill="1" applyBorder="1" applyAlignment="1">
      <alignment horizontal="center" wrapText="1"/>
    </xf>
    <xf numFmtId="0" fontId="22" fillId="0" borderId="47" xfId="2470" applyFont="1" applyBorder="1" applyAlignment="1">
      <alignment horizontal="center" wrapText="1"/>
    </xf>
    <xf numFmtId="0" fontId="22" fillId="0" borderId="0" xfId="2470" applyFont="1" applyAlignment="1">
      <alignment horizontal="center" wrapText="1"/>
    </xf>
    <xf numFmtId="0" fontId="43" fillId="64" borderId="13" xfId="2470" applyFont="1" applyFill="1" applyBorder="1" applyAlignment="1">
      <alignment horizontal="center" wrapText="1"/>
    </xf>
    <xf numFmtId="0" fontId="43" fillId="64" borderId="10" xfId="2470" applyFont="1" applyFill="1" applyBorder="1" applyAlignment="1">
      <alignment horizontal="center" wrapText="1"/>
    </xf>
    <xf numFmtId="0" fontId="43" fillId="64" borderId="46" xfId="2470" applyFont="1" applyFill="1" applyBorder="1" applyAlignment="1">
      <alignment horizontal="center" wrapText="1"/>
    </xf>
    <xf numFmtId="2" fontId="20" fillId="33" borderId="50" xfId="2470" applyNumberFormat="1" applyFont="1" applyFill="1" applyBorder="1" applyAlignment="1">
      <alignment horizontal="center" vertical="center" wrapText="1"/>
    </xf>
    <xf numFmtId="2" fontId="20" fillId="33" borderId="51" xfId="2470" applyNumberFormat="1" applyFont="1" applyFill="1" applyBorder="1" applyAlignment="1">
      <alignment horizontal="center" vertical="center" wrapText="1"/>
    </xf>
    <xf numFmtId="2" fontId="20" fillId="33" borderId="52" xfId="2470" applyNumberFormat="1" applyFont="1" applyFill="1" applyBorder="1" applyAlignment="1">
      <alignment horizontal="center" vertical="center" wrapText="1"/>
    </xf>
    <xf numFmtId="2" fontId="20" fillId="33" borderId="48" xfId="2470" applyNumberFormat="1" applyFont="1" applyFill="1" applyBorder="1" applyAlignment="1">
      <alignment horizontal="center" vertical="center" wrapText="1"/>
    </xf>
    <xf numFmtId="2" fontId="20" fillId="33" borderId="23" xfId="2470" applyNumberFormat="1" applyFont="1" applyFill="1" applyBorder="1" applyAlignment="1">
      <alignment horizontal="center" vertical="center" wrapText="1"/>
    </xf>
    <xf numFmtId="2" fontId="20" fillId="33" borderId="49" xfId="2470" applyNumberFormat="1" applyFont="1" applyFill="1" applyBorder="1" applyAlignment="1">
      <alignment horizontal="center" vertical="center" wrapText="1"/>
    </xf>
    <xf numFmtId="0" fontId="57" fillId="0" borderId="43" xfId="2470" applyFont="1" applyBorder="1" applyAlignment="1">
      <alignment horizontal="left"/>
    </xf>
    <xf numFmtId="0" fontId="57" fillId="0" borderId="44" xfId="2470" applyFont="1" applyBorder="1" applyAlignment="1">
      <alignment horizontal="left"/>
    </xf>
    <xf numFmtId="0" fontId="43" fillId="33" borderId="13" xfId="2470" applyFont="1" applyFill="1" applyBorder="1" applyAlignment="1">
      <alignment horizontal="center" wrapText="1"/>
    </xf>
    <xf numFmtId="0" fontId="43" fillId="33" borderId="10" xfId="2470" applyFont="1" applyFill="1" applyBorder="1" applyAlignment="1">
      <alignment horizontal="center" wrapText="1"/>
    </xf>
    <xf numFmtId="0" fontId="43" fillId="33" borderId="46" xfId="2470" applyFont="1" applyFill="1" applyBorder="1" applyAlignment="1">
      <alignment horizontal="center" wrapText="1"/>
    </xf>
    <xf numFmtId="0" fontId="20" fillId="0" borderId="0" xfId="2470" applyFont="1" applyAlignment="1">
      <alignment horizontal="center"/>
    </xf>
    <xf numFmtId="0" fontId="45" fillId="64" borderId="0" xfId="2470" applyFont="1" applyFill="1" applyAlignment="1">
      <alignment horizontal="right"/>
    </xf>
    <xf numFmtId="0" fontId="44" fillId="64" borderId="55" xfId="2470" applyFont="1" applyFill="1" applyBorder="1" applyAlignment="1">
      <alignment horizontal="center"/>
    </xf>
    <xf numFmtId="0" fontId="44" fillId="64" borderId="56" xfId="2470" applyFont="1" applyFill="1" applyBorder="1" applyAlignment="1">
      <alignment horizontal="center"/>
    </xf>
    <xf numFmtId="0" fontId="44" fillId="64" borderId="57" xfId="2470" applyFont="1" applyFill="1" applyBorder="1" applyAlignment="1">
      <alignment horizontal="center"/>
    </xf>
    <xf numFmtId="0" fontId="43" fillId="33" borderId="0" xfId="2470" applyFont="1" applyFill="1" applyAlignment="1">
      <alignment horizontal="center"/>
    </xf>
    <xf numFmtId="0" fontId="43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3" fillId="33" borderId="60" xfId="2470" applyFont="1" applyFill="1" applyBorder="1" applyAlignment="1">
      <alignment horizontal="center" wrapText="1"/>
    </xf>
    <xf numFmtId="0" fontId="43" fillId="33" borderId="61" xfId="2470" applyFont="1" applyFill="1" applyBorder="1" applyAlignment="1">
      <alignment horizontal="center"/>
    </xf>
    <xf numFmtId="0" fontId="43" fillId="33" borderId="61" xfId="2470" applyFont="1" applyFill="1" applyBorder="1" applyAlignment="1">
      <alignment horizontal="center" wrapText="1"/>
    </xf>
    <xf numFmtId="0" fontId="20" fillId="59" borderId="0" xfId="0" applyFont="1" applyFill="1" applyAlignment="1">
      <alignment horizontal="center"/>
    </xf>
    <xf numFmtId="0" fontId="44" fillId="59" borderId="55" xfId="0" applyFont="1" applyFill="1" applyBorder="1" applyAlignment="1">
      <alignment horizontal="center"/>
    </xf>
    <xf numFmtId="0" fontId="44" fillId="59" borderId="56" xfId="0" applyFont="1" applyFill="1" applyBorder="1" applyAlignment="1">
      <alignment horizontal="center"/>
    </xf>
    <xf numFmtId="0" fontId="44" fillId="59" borderId="57" xfId="0" applyFont="1" applyFill="1" applyBorder="1" applyAlignment="1">
      <alignment horizontal="center"/>
    </xf>
    <xf numFmtId="0" fontId="45" fillId="59" borderId="0" xfId="0" applyFont="1" applyFill="1" applyAlignment="1">
      <alignment horizontal="right"/>
    </xf>
    <xf numFmtId="0" fontId="45" fillId="64" borderId="0" xfId="0" applyFont="1" applyFill="1" applyAlignment="1">
      <alignment horizontal="right"/>
    </xf>
    <xf numFmtId="0" fontId="20" fillId="66" borderId="0" xfId="0" applyFont="1" applyFill="1" applyAlignment="1">
      <alignment horizontal="center"/>
    </xf>
    <xf numFmtId="0" fontId="44" fillId="66" borderId="55" xfId="0" applyFont="1" applyFill="1" applyBorder="1" applyAlignment="1">
      <alignment horizontal="center"/>
    </xf>
    <xf numFmtId="0" fontId="44" fillId="66" borderId="56" xfId="0" applyFont="1" applyFill="1" applyBorder="1" applyAlignment="1">
      <alignment horizontal="center"/>
    </xf>
    <xf numFmtId="0" fontId="44" fillId="66" borderId="57" xfId="0" applyFont="1" applyFill="1" applyBorder="1" applyAlignment="1">
      <alignment horizontal="center"/>
    </xf>
    <xf numFmtId="0" fontId="45" fillId="66" borderId="0" xfId="0" applyFont="1" applyFill="1" applyAlignment="1">
      <alignment horizontal="right"/>
    </xf>
    <xf numFmtId="0" fontId="20" fillId="58" borderId="0" xfId="0" applyFont="1" applyFill="1" applyAlignment="1">
      <alignment horizontal="center"/>
    </xf>
    <xf numFmtId="0" fontId="4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44" fillId="0" borderId="55" xfId="0" applyFont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4" fillId="0" borderId="57" xfId="0" applyFont="1" applyBorder="1" applyAlignment="1">
      <alignment horizontal="center"/>
    </xf>
    <xf numFmtId="0" fontId="20" fillId="64" borderId="0" xfId="0" applyFont="1" applyFill="1" applyAlignment="1">
      <alignment horizontal="center"/>
    </xf>
    <xf numFmtId="0" fontId="44" fillId="64" borderId="55" xfId="0" applyFont="1" applyFill="1" applyBorder="1" applyAlignment="1">
      <alignment horizontal="center"/>
    </xf>
    <xf numFmtId="0" fontId="44" fillId="64" borderId="56" xfId="0" applyFont="1" applyFill="1" applyBorder="1" applyAlignment="1">
      <alignment horizontal="center"/>
    </xf>
    <xf numFmtId="0" fontId="44" fillId="64" borderId="57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7" fillId="0" borderId="49" xfId="0" applyFont="1" applyBorder="1" applyAlignment="1">
      <alignment horizontal="left"/>
    </xf>
    <xf numFmtId="0" fontId="43" fillId="33" borderId="60" xfId="0" applyFont="1" applyFill="1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43" fillId="33" borderId="61" xfId="0" applyFont="1" applyFill="1" applyBorder="1" applyAlignment="1">
      <alignment horizontal="center" wrapText="1"/>
    </xf>
    <xf numFmtId="0" fontId="20" fillId="33" borderId="80" xfId="0" applyFont="1" applyFill="1" applyBorder="1" applyAlignment="1">
      <alignment horizontal="center" vertical="center" wrapText="1"/>
    </xf>
    <xf numFmtId="0" fontId="20" fillId="33" borderId="82" xfId="0" applyFont="1" applyFill="1" applyBorder="1" applyAlignment="1">
      <alignment horizontal="center" vertical="center" wrapText="1"/>
    </xf>
    <xf numFmtId="0" fontId="20" fillId="70" borderId="45" xfId="2985" applyFont="1" applyFill="1" applyBorder="1" applyAlignment="1">
      <alignment horizontal="center" vertical="center"/>
    </xf>
    <xf numFmtId="0" fontId="20" fillId="70" borderId="65" xfId="2985" applyFont="1" applyFill="1" applyBorder="1" applyAlignment="1">
      <alignment horizontal="center" vertical="center"/>
    </xf>
    <xf numFmtId="0" fontId="20" fillId="34" borderId="0" xfId="2985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/>
    </xf>
    <xf numFmtId="166" fontId="22" fillId="0" borderId="10" xfId="2985" applyNumberFormat="1" applyBorder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72" fillId="0" borderId="0" xfId="0" applyFont="1" applyAlignment="1">
      <alignment horizontal="left"/>
    </xf>
    <xf numFmtId="3" fontId="20" fillId="33" borderId="74" xfId="0" quotePrefix="1" applyNumberFormat="1" applyFont="1" applyFill="1" applyBorder="1" applyAlignment="1">
      <alignment horizontal="center" vertical="center"/>
    </xf>
    <xf numFmtId="3" fontId="20" fillId="33" borderId="0" xfId="0" quotePrefix="1" applyNumberFormat="1" applyFont="1" applyFill="1" applyAlignment="1">
      <alignment horizontal="center" vertical="center"/>
    </xf>
    <xf numFmtId="3" fontId="20" fillId="33" borderId="75" xfId="0" quotePrefix="1" applyNumberFormat="1" applyFont="1" applyFill="1" applyBorder="1" applyAlignment="1">
      <alignment horizontal="center" vertical="center"/>
    </xf>
    <xf numFmtId="3" fontId="20" fillId="33" borderId="76" xfId="0" quotePrefix="1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0" fillId="73" borderId="66" xfId="0" applyFont="1" applyFill="1" applyBorder="1" applyAlignment="1">
      <alignment horizontal="center" vertical="center"/>
    </xf>
    <xf numFmtId="0" fontId="20" fillId="73" borderId="67" xfId="0" applyFont="1" applyFill="1" applyBorder="1" applyAlignment="1">
      <alignment horizontal="center" vertical="center"/>
    </xf>
    <xf numFmtId="0" fontId="20" fillId="73" borderId="68" xfId="0" applyFont="1" applyFill="1" applyBorder="1" applyAlignment="1">
      <alignment horizontal="center" vertical="center"/>
    </xf>
    <xf numFmtId="0" fontId="20" fillId="73" borderId="69" xfId="0" applyFont="1" applyFill="1" applyBorder="1" applyAlignment="1">
      <alignment horizontal="center" vertical="center"/>
    </xf>
    <xf numFmtId="0" fontId="20" fillId="73" borderId="70" xfId="0" applyFont="1" applyFill="1" applyBorder="1" applyAlignment="1">
      <alignment horizontal="center" vertical="center"/>
    </xf>
    <xf numFmtId="0" fontId="20" fillId="73" borderId="71" xfId="0" applyFont="1" applyFill="1" applyBorder="1" applyAlignment="1">
      <alignment horizontal="center" vertical="center"/>
    </xf>
    <xf numFmtId="0" fontId="20" fillId="69" borderId="65" xfId="2470" applyFont="1" applyFill="1" applyBorder="1" applyAlignment="1">
      <alignment horizontal="center" vertical="center" wrapText="1"/>
    </xf>
    <xf numFmtId="0" fontId="20" fillId="69" borderId="43" xfId="2470" applyFont="1" applyFill="1" applyBorder="1" applyAlignment="1">
      <alignment horizontal="center" vertical="center" wrapText="1"/>
    </xf>
    <xf numFmtId="0" fontId="20" fillId="70" borderId="43" xfId="2985" applyFont="1" applyFill="1" applyBorder="1" applyAlignment="1">
      <alignment horizontal="center" vertical="center"/>
    </xf>
    <xf numFmtId="0" fontId="20" fillId="34" borderId="43" xfId="2985" applyFont="1" applyFill="1" applyBorder="1" applyAlignment="1">
      <alignment horizontal="center" vertical="center"/>
    </xf>
    <xf numFmtId="0" fontId="20" fillId="68" borderId="43" xfId="2985" applyFont="1" applyFill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57" fillId="0" borderId="0" xfId="0" applyFont="1" applyAlignment="1">
      <alignment horizontal="left" wrapText="1"/>
    </xf>
    <xf numFmtId="3" fontId="20" fillId="33" borderId="62" xfId="2506" quotePrefix="1" applyNumberFormat="1" applyFont="1" applyFill="1" applyBorder="1" applyAlignment="1">
      <alignment horizontal="center" wrapText="1"/>
    </xf>
    <xf numFmtId="3" fontId="20" fillId="33" borderId="63" xfId="2506" quotePrefix="1" applyNumberFormat="1" applyFont="1" applyFill="1" applyBorder="1" applyAlignment="1">
      <alignment horizontal="center" wrapText="1"/>
    </xf>
    <xf numFmtId="3" fontId="20" fillId="33" borderId="64" xfId="2506" quotePrefix="1" applyNumberFormat="1" applyFont="1" applyFill="1" applyBorder="1" applyAlignment="1">
      <alignment horizontal="center" wrapText="1"/>
    </xf>
  </cellXfs>
  <cellStyles count="2986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2 2" xfId="5" xr:uid="{00000000-0005-0000-0000-000003000000}"/>
    <cellStyle name="20% - Accent1 10 2 3" xfId="6" xr:uid="{00000000-0005-0000-0000-000004000000}"/>
    <cellStyle name="20% - Accent1 10 2 4" xfId="7" xr:uid="{00000000-0005-0000-0000-000005000000}"/>
    <cellStyle name="20% - Accent1 10 3" xfId="8" xr:uid="{00000000-0005-0000-0000-000006000000}"/>
    <cellStyle name="20% - Accent1 10 3 2" xfId="9" xr:uid="{00000000-0005-0000-0000-000007000000}"/>
    <cellStyle name="20% - Accent1 10 4" xfId="10" xr:uid="{00000000-0005-0000-0000-000008000000}"/>
    <cellStyle name="20% - Accent1 10 5" xfId="11" xr:uid="{00000000-0005-0000-0000-000009000000}"/>
    <cellStyle name="20% - Accent1 11" xfId="12" xr:uid="{00000000-0005-0000-0000-00000A000000}"/>
    <cellStyle name="20% - Accent1 11 2" xfId="13" xr:uid="{00000000-0005-0000-0000-00000B000000}"/>
    <cellStyle name="20% - Accent1 11 2 2" xfId="14" xr:uid="{00000000-0005-0000-0000-00000C000000}"/>
    <cellStyle name="20% - Accent1 11 2 2 2" xfId="15" xr:uid="{00000000-0005-0000-0000-00000D000000}"/>
    <cellStyle name="20% - Accent1 11 2 3" xfId="16" xr:uid="{00000000-0005-0000-0000-00000E000000}"/>
    <cellStyle name="20% - Accent1 11 2 4" xfId="17" xr:uid="{00000000-0005-0000-0000-00000F000000}"/>
    <cellStyle name="20% - Accent1 11 3" xfId="18" xr:uid="{00000000-0005-0000-0000-000010000000}"/>
    <cellStyle name="20% - Accent1 11 3 2" xfId="19" xr:uid="{00000000-0005-0000-0000-000011000000}"/>
    <cellStyle name="20% - Accent1 11 4" xfId="20" xr:uid="{00000000-0005-0000-0000-000012000000}"/>
    <cellStyle name="20% - Accent1 11 5" xfId="21" xr:uid="{00000000-0005-0000-0000-000013000000}"/>
    <cellStyle name="20% - Accent1 12" xfId="22" xr:uid="{00000000-0005-0000-0000-000014000000}"/>
    <cellStyle name="20% - Accent1 12 2" xfId="23" xr:uid="{00000000-0005-0000-0000-000015000000}"/>
    <cellStyle name="20% - Accent1 12 2 2" xfId="24" xr:uid="{00000000-0005-0000-0000-000016000000}"/>
    <cellStyle name="20% - Accent1 12 3" xfId="25" xr:uid="{00000000-0005-0000-0000-000017000000}"/>
    <cellStyle name="20% - Accent1 12 4" xfId="26" xr:uid="{00000000-0005-0000-0000-000018000000}"/>
    <cellStyle name="20% - Accent1 13" xfId="27" xr:uid="{00000000-0005-0000-0000-000019000000}"/>
    <cellStyle name="20% - Accent1 13 2" xfId="28" xr:uid="{00000000-0005-0000-0000-00001A000000}"/>
    <cellStyle name="20% - Accent1 14" xfId="29" xr:uid="{00000000-0005-0000-0000-00001B000000}"/>
    <cellStyle name="20% - Accent1 14 2" xfId="30" xr:uid="{00000000-0005-0000-0000-00001C000000}"/>
    <cellStyle name="20% - Accent1 15" xfId="31" xr:uid="{00000000-0005-0000-0000-00001D000000}"/>
    <cellStyle name="20% - Accent1 16" xfId="32" xr:uid="{00000000-0005-0000-0000-00001E000000}"/>
    <cellStyle name="20% - Accent1 2" xfId="33" xr:uid="{00000000-0005-0000-0000-00001F000000}"/>
    <cellStyle name="20% - Accent1 2 2" xfId="34" xr:uid="{00000000-0005-0000-0000-000020000000}"/>
    <cellStyle name="20% - Accent1 2 2 2" xfId="35" xr:uid="{00000000-0005-0000-0000-000021000000}"/>
    <cellStyle name="20% - Accent1 2 2 2 2" xfId="36" xr:uid="{00000000-0005-0000-0000-000022000000}"/>
    <cellStyle name="20% - Accent1 2 2 2 2 2" xfId="37" xr:uid="{00000000-0005-0000-0000-000023000000}"/>
    <cellStyle name="20% - Accent1 2 2 2 2 2 2" xfId="38" xr:uid="{00000000-0005-0000-0000-000024000000}"/>
    <cellStyle name="20% - Accent1 2 2 2 2 3" xfId="39" xr:uid="{00000000-0005-0000-0000-000025000000}"/>
    <cellStyle name="20% - Accent1 2 2 2 2 4" xfId="40" xr:uid="{00000000-0005-0000-0000-000026000000}"/>
    <cellStyle name="20% - Accent1 2 2 2 3" xfId="41" xr:uid="{00000000-0005-0000-0000-000027000000}"/>
    <cellStyle name="20% - Accent1 2 2 2 3 2" xfId="42" xr:uid="{00000000-0005-0000-0000-000028000000}"/>
    <cellStyle name="20% - Accent1 2 2 2 4" xfId="43" xr:uid="{00000000-0005-0000-0000-000029000000}"/>
    <cellStyle name="20% - Accent1 2 2 2 5" xfId="44" xr:uid="{00000000-0005-0000-0000-00002A000000}"/>
    <cellStyle name="20% - Accent1 2 2 3" xfId="45" xr:uid="{00000000-0005-0000-0000-00002B000000}"/>
    <cellStyle name="20% - Accent1 2 2 3 2" xfId="46" xr:uid="{00000000-0005-0000-0000-00002C000000}"/>
    <cellStyle name="20% - Accent1 2 2 3 2 2" xfId="47" xr:uid="{00000000-0005-0000-0000-00002D000000}"/>
    <cellStyle name="20% - Accent1 2 2 3 3" xfId="48" xr:uid="{00000000-0005-0000-0000-00002E000000}"/>
    <cellStyle name="20% - Accent1 2 2 3 4" xfId="49" xr:uid="{00000000-0005-0000-0000-00002F000000}"/>
    <cellStyle name="20% - Accent1 2 2 4" xfId="50" xr:uid="{00000000-0005-0000-0000-000030000000}"/>
    <cellStyle name="20% - Accent1 2 2 4 2" xfId="51" xr:uid="{00000000-0005-0000-0000-000031000000}"/>
    <cellStyle name="20% - Accent1 2 2 5" xfId="52" xr:uid="{00000000-0005-0000-0000-000032000000}"/>
    <cellStyle name="20% - Accent1 2 2 5 2" xfId="53" xr:uid="{00000000-0005-0000-0000-000033000000}"/>
    <cellStyle name="20% - Accent1 2 2 6" xfId="54" xr:uid="{00000000-0005-0000-0000-000034000000}"/>
    <cellStyle name="20% - Accent1 2 2 7" xfId="55" xr:uid="{00000000-0005-0000-0000-000035000000}"/>
    <cellStyle name="20% - Accent1 2 3" xfId="56" xr:uid="{00000000-0005-0000-0000-000036000000}"/>
    <cellStyle name="20% - Accent1 2 3 2" xfId="57" xr:uid="{00000000-0005-0000-0000-000037000000}"/>
    <cellStyle name="20% - Accent1 2 3 2 2" xfId="58" xr:uid="{00000000-0005-0000-0000-000038000000}"/>
    <cellStyle name="20% - Accent1 2 3 2 2 2" xfId="59" xr:uid="{00000000-0005-0000-0000-000039000000}"/>
    <cellStyle name="20% - Accent1 2 3 2 3" xfId="60" xr:uid="{00000000-0005-0000-0000-00003A000000}"/>
    <cellStyle name="20% - Accent1 2 3 2 4" xfId="61" xr:uid="{00000000-0005-0000-0000-00003B000000}"/>
    <cellStyle name="20% - Accent1 2 3 3" xfId="62" xr:uid="{00000000-0005-0000-0000-00003C000000}"/>
    <cellStyle name="20% - Accent1 2 3 3 2" xfId="63" xr:uid="{00000000-0005-0000-0000-00003D000000}"/>
    <cellStyle name="20% - Accent1 2 3 4" xfId="64" xr:uid="{00000000-0005-0000-0000-00003E000000}"/>
    <cellStyle name="20% - Accent1 2 3 5" xfId="65" xr:uid="{00000000-0005-0000-0000-00003F000000}"/>
    <cellStyle name="20% - Accent1 2 4" xfId="66" xr:uid="{00000000-0005-0000-0000-000040000000}"/>
    <cellStyle name="20% - Accent1 2 4 2" xfId="67" xr:uid="{00000000-0005-0000-0000-000041000000}"/>
    <cellStyle name="20% - Accent1 2 4 2 2" xfId="68" xr:uid="{00000000-0005-0000-0000-000042000000}"/>
    <cellStyle name="20% - Accent1 2 4 3" xfId="69" xr:uid="{00000000-0005-0000-0000-000043000000}"/>
    <cellStyle name="20% - Accent1 2 4 4" xfId="70" xr:uid="{00000000-0005-0000-0000-000044000000}"/>
    <cellStyle name="20% - Accent1 2 5" xfId="71" xr:uid="{00000000-0005-0000-0000-000045000000}"/>
    <cellStyle name="20% - Accent1 2 5 2" xfId="72" xr:uid="{00000000-0005-0000-0000-000046000000}"/>
    <cellStyle name="20% - Accent1 2 6" xfId="73" xr:uid="{00000000-0005-0000-0000-000047000000}"/>
    <cellStyle name="20% - Accent1 2 6 2" xfId="74" xr:uid="{00000000-0005-0000-0000-000048000000}"/>
    <cellStyle name="20% - Accent1 2 7" xfId="75" xr:uid="{00000000-0005-0000-0000-000049000000}"/>
    <cellStyle name="20% - Accent1 2 8" xfId="76" xr:uid="{00000000-0005-0000-0000-00004A000000}"/>
    <cellStyle name="20% - Accent1 3" xfId="77" xr:uid="{00000000-0005-0000-0000-00004B000000}"/>
    <cellStyle name="20% - Accent1 3 2" xfId="78" xr:uid="{00000000-0005-0000-0000-00004C000000}"/>
    <cellStyle name="20% - Accent1 4" xfId="79" xr:uid="{00000000-0005-0000-0000-00004D000000}"/>
    <cellStyle name="20% - Accent1 4 2" xfId="80" xr:uid="{00000000-0005-0000-0000-00004E000000}"/>
    <cellStyle name="20% - Accent1 4 2 2" xfId="81" xr:uid="{00000000-0005-0000-0000-00004F000000}"/>
    <cellStyle name="20% - Accent1 4 2 2 2" xfId="82" xr:uid="{00000000-0005-0000-0000-000050000000}"/>
    <cellStyle name="20% - Accent1 4 2 2 2 2" xfId="83" xr:uid="{00000000-0005-0000-0000-000051000000}"/>
    <cellStyle name="20% - Accent1 4 2 2 3" xfId="84" xr:uid="{00000000-0005-0000-0000-000052000000}"/>
    <cellStyle name="20% - Accent1 4 2 2 4" xfId="85" xr:uid="{00000000-0005-0000-0000-000053000000}"/>
    <cellStyle name="20% - Accent1 4 2 3" xfId="86" xr:uid="{00000000-0005-0000-0000-000054000000}"/>
    <cellStyle name="20% - Accent1 4 2 3 2" xfId="87" xr:uid="{00000000-0005-0000-0000-000055000000}"/>
    <cellStyle name="20% - Accent1 4 2 4" xfId="88" xr:uid="{00000000-0005-0000-0000-000056000000}"/>
    <cellStyle name="20% - Accent1 4 2 5" xfId="89" xr:uid="{00000000-0005-0000-0000-000057000000}"/>
    <cellStyle name="20% - Accent1 4 3" xfId="90" xr:uid="{00000000-0005-0000-0000-000058000000}"/>
    <cellStyle name="20% - Accent1 4 3 2" xfId="91" xr:uid="{00000000-0005-0000-0000-000059000000}"/>
    <cellStyle name="20% - Accent1 4 3 2 2" xfId="92" xr:uid="{00000000-0005-0000-0000-00005A000000}"/>
    <cellStyle name="20% - Accent1 4 3 3" xfId="93" xr:uid="{00000000-0005-0000-0000-00005B000000}"/>
    <cellStyle name="20% - Accent1 4 3 4" xfId="94" xr:uid="{00000000-0005-0000-0000-00005C000000}"/>
    <cellStyle name="20% - Accent1 4 4" xfId="95" xr:uid="{00000000-0005-0000-0000-00005D000000}"/>
    <cellStyle name="20% - Accent1 4 4 2" xfId="96" xr:uid="{00000000-0005-0000-0000-00005E000000}"/>
    <cellStyle name="20% - Accent1 4 5" xfId="97" xr:uid="{00000000-0005-0000-0000-00005F000000}"/>
    <cellStyle name="20% - Accent1 4 5 2" xfId="98" xr:uid="{00000000-0005-0000-0000-000060000000}"/>
    <cellStyle name="20% - Accent1 4 6" xfId="99" xr:uid="{00000000-0005-0000-0000-000061000000}"/>
    <cellStyle name="20% - Accent1 4 7" xfId="100" xr:uid="{00000000-0005-0000-0000-000062000000}"/>
    <cellStyle name="20% - Accent1 5" xfId="101" xr:uid="{00000000-0005-0000-0000-000063000000}"/>
    <cellStyle name="20% - Accent1 5 2" xfId="102" xr:uid="{00000000-0005-0000-0000-000064000000}"/>
    <cellStyle name="20% - Accent1 5 2 2" xfId="103" xr:uid="{00000000-0005-0000-0000-000065000000}"/>
    <cellStyle name="20% - Accent1 5 2 2 2" xfId="104" xr:uid="{00000000-0005-0000-0000-000066000000}"/>
    <cellStyle name="20% - Accent1 5 2 2 2 2" xfId="105" xr:uid="{00000000-0005-0000-0000-000067000000}"/>
    <cellStyle name="20% - Accent1 5 2 2 3" xfId="106" xr:uid="{00000000-0005-0000-0000-000068000000}"/>
    <cellStyle name="20% - Accent1 5 2 2 4" xfId="107" xr:uid="{00000000-0005-0000-0000-000069000000}"/>
    <cellStyle name="20% - Accent1 5 2 3" xfId="108" xr:uid="{00000000-0005-0000-0000-00006A000000}"/>
    <cellStyle name="20% - Accent1 5 2 3 2" xfId="109" xr:uid="{00000000-0005-0000-0000-00006B000000}"/>
    <cellStyle name="20% - Accent1 5 2 4" xfId="110" xr:uid="{00000000-0005-0000-0000-00006C000000}"/>
    <cellStyle name="20% - Accent1 5 2 5" xfId="111" xr:uid="{00000000-0005-0000-0000-00006D000000}"/>
    <cellStyle name="20% - Accent1 5 3" xfId="112" xr:uid="{00000000-0005-0000-0000-00006E000000}"/>
    <cellStyle name="20% - Accent1 5 3 2" xfId="113" xr:uid="{00000000-0005-0000-0000-00006F000000}"/>
    <cellStyle name="20% - Accent1 5 3 2 2" xfId="114" xr:uid="{00000000-0005-0000-0000-000070000000}"/>
    <cellStyle name="20% - Accent1 5 3 3" xfId="115" xr:uid="{00000000-0005-0000-0000-000071000000}"/>
    <cellStyle name="20% - Accent1 5 3 4" xfId="116" xr:uid="{00000000-0005-0000-0000-000072000000}"/>
    <cellStyle name="20% - Accent1 5 4" xfId="117" xr:uid="{00000000-0005-0000-0000-000073000000}"/>
    <cellStyle name="20% - Accent1 5 4 2" xfId="118" xr:uid="{00000000-0005-0000-0000-000074000000}"/>
    <cellStyle name="20% - Accent1 5 5" xfId="119" xr:uid="{00000000-0005-0000-0000-000075000000}"/>
    <cellStyle name="20% - Accent1 5 5 2" xfId="120" xr:uid="{00000000-0005-0000-0000-000076000000}"/>
    <cellStyle name="20% - Accent1 5 6" xfId="121" xr:uid="{00000000-0005-0000-0000-000077000000}"/>
    <cellStyle name="20% - Accent1 5 7" xfId="122" xr:uid="{00000000-0005-0000-0000-000078000000}"/>
    <cellStyle name="20% - Accent1 6" xfId="123" xr:uid="{00000000-0005-0000-0000-000079000000}"/>
    <cellStyle name="20% - Accent1 7" xfId="124" xr:uid="{00000000-0005-0000-0000-00007A000000}"/>
    <cellStyle name="20% - Accent1 7 2" xfId="125" xr:uid="{00000000-0005-0000-0000-00007B000000}"/>
    <cellStyle name="20% - Accent1 7 2 2" xfId="126" xr:uid="{00000000-0005-0000-0000-00007C000000}"/>
    <cellStyle name="20% - Accent1 7 2 2 2" xfId="127" xr:uid="{00000000-0005-0000-0000-00007D000000}"/>
    <cellStyle name="20% - Accent1 7 2 2 2 2" xfId="128" xr:uid="{00000000-0005-0000-0000-00007E000000}"/>
    <cellStyle name="20% - Accent1 7 2 2 3" xfId="129" xr:uid="{00000000-0005-0000-0000-00007F000000}"/>
    <cellStyle name="20% - Accent1 7 2 2 4" xfId="130" xr:uid="{00000000-0005-0000-0000-000080000000}"/>
    <cellStyle name="20% - Accent1 7 2 3" xfId="131" xr:uid="{00000000-0005-0000-0000-000081000000}"/>
    <cellStyle name="20% - Accent1 7 2 3 2" xfId="132" xr:uid="{00000000-0005-0000-0000-000082000000}"/>
    <cellStyle name="20% - Accent1 7 2 4" xfId="133" xr:uid="{00000000-0005-0000-0000-000083000000}"/>
    <cellStyle name="20% - Accent1 7 2 5" xfId="134" xr:uid="{00000000-0005-0000-0000-000084000000}"/>
    <cellStyle name="20% - Accent1 7 3" xfId="135" xr:uid="{00000000-0005-0000-0000-000085000000}"/>
    <cellStyle name="20% - Accent1 7 3 2" xfId="136" xr:uid="{00000000-0005-0000-0000-000086000000}"/>
    <cellStyle name="20% - Accent1 7 3 2 2" xfId="137" xr:uid="{00000000-0005-0000-0000-000087000000}"/>
    <cellStyle name="20% - Accent1 7 3 3" xfId="138" xr:uid="{00000000-0005-0000-0000-000088000000}"/>
    <cellStyle name="20% - Accent1 7 3 4" xfId="139" xr:uid="{00000000-0005-0000-0000-000089000000}"/>
    <cellStyle name="20% - Accent1 7 4" xfId="140" xr:uid="{00000000-0005-0000-0000-00008A000000}"/>
    <cellStyle name="20% - Accent1 7 4 2" xfId="141" xr:uid="{00000000-0005-0000-0000-00008B000000}"/>
    <cellStyle name="20% - Accent1 7 5" xfId="142" xr:uid="{00000000-0005-0000-0000-00008C000000}"/>
    <cellStyle name="20% - Accent1 7 6" xfId="143" xr:uid="{00000000-0005-0000-0000-00008D000000}"/>
    <cellStyle name="20% - Accent1 8" xfId="144" xr:uid="{00000000-0005-0000-0000-00008E000000}"/>
    <cellStyle name="20% - Accent1 8 2" xfId="145" xr:uid="{00000000-0005-0000-0000-00008F000000}"/>
    <cellStyle name="20% - Accent1 8 2 2" xfId="146" xr:uid="{00000000-0005-0000-0000-000090000000}"/>
    <cellStyle name="20% - Accent1 8 2 2 2" xfId="147" xr:uid="{00000000-0005-0000-0000-000091000000}"/>
    <cellStyle name="20% - Accent1 8 2 2 2 2" xfId="148" xr:uid="{00000000-0005-0000-0000-000092000000}"/>
    <cellStyle name="20% - Accent1 8 2 2 3" xfId="149" xr:uid="{00000000-0005-0000-0000-000093000000}"/>
    <cellStyle name="20% - Accent1 8 2 2 4" xfId="150" xr:uid="{00000000-0005-0000-0000-000094000000}"/>
    <cellStyle name="20% - Accent1 8 2 3" xfId="151" xr:uid="{00000000-0005-0000-0000-000095000000}"/>
    <cellStyle name="20% - Accent1 8 2 3 2" xfId="152" xr:uid="{00000000-0005-0000-0000-000096000000}"/>
    <cellStyle name="20% - Accent1 8 2 4" xfId="153" xr:uid="{00000000-0005-0000-0000-000097000000}"/>
    <cellStyle name="20% - Accent1 8 2 5" xfId="154" xr:uid="{00000000-0005-0000-0000-000098000000}"/>
    <cellStyle name="20% - Accent1 8 3" xfId="155" xr:uid="{00000000-0005-0000-0000-000099000000}"/>
    <cellStyle name="20% - Accent1 8 3 2" xfId="156" xr:uid="{00000000-0005-0000-0000-00009A000000}"/>
    <cellStyle name="20% - Accent1 8 3 2 2" xfId="157" xr:uid="{00000000-0005-0000-0000-00009B000000}"/>
    <cellStyle name="20% - Accent1 8 3 3" xfId="158" xr:uid="{00000000-0005-0000-0000-00009C000000}"/>
    <cellStyle name="20% - Accent1 8 3 4" xfId="159" xr:uid="{00000000-0005-0000-0000-00009D000000}"/>
    <cellStyle name="20% - Accent1 8 4" xfId="160" xr:uid="{00000000-0005-0000-0000-00009E000000}"/>
    <cellStyle name="20% - Accent1 8 4 2" xfId="161" xr:uid="{00000000-0005-0000-0000-00009F000000}"/>
    <cellStyle name="20% - Accent1 8 5" xfId="162" xr:uid="{00000000-0005-0000-0000-0000A0000000}"/>
    <cellStyle name="20% - Accent1 8 6" xfId="163" xr:uid="{00000000-0005-0000-0000-0000A1000000}"/>
    <cellStyle name="20% - Accent1 9" xfId="164" xr:uid="{00000000-0005-0000-0000-0000A2000000}"/>
    <cellStyle name="20% - Accent1 9 2" xfId="165" xr:uid="{00000000-0005-0000-0000-0000A3000000}"/>
    <cellStyle name="20% - Accent1 9 2 2" xfId="166" xr:uid="{00000000-0005-0000-0000-0000A4000000}"/>
    <cellStyle name="20% - Accent1 9 2 2 2" xfId="167" xr:uid="{00000000-0005-0000-0000-0000A5000000}"/>
    <cellStyle name="20% - Accent1 9 2 2 2 2" xfId="168" xr:uid="{00000000-0005-0000-0000-0000A6000000}"/>
    <cellStyle name="20% - Accent1 9 2 2 3" xfId="169" xr:uid="{00000000-0005-0000-0000-0000A7000000}"/>
    <cellStyle name="20% - Accent1 9 2 2 4" xfId="170" xr:uid="{00000000-0005-0000-0000-0000A8000000}"/>
    <cellStyle name="20% - Accent1 9 2 3" xfId="171" xr:uid="{00000000-0005-0000-0000-0000A9000000}"/>
    <cellStyle name="20% - Accent1 9 2 3 2" xfId="172" xr:uid="{00000000-0005-0000-0000-0000AA000000}"/>
    <cellStyle name="20% - Accent1 9 2 4" xfId="173" xr:uid="{00000000-0005-0000-0000-0000AB000000}"/>
    <cellStyle name="20% - Accent1 9 2 5" xfId="174" xr:uid="{00000000-0005-0000-0000-0000AC000000}"/>
    <cellStyle name="20% - Accent1 9 3" xfId="175" xr:uid="{00000000-0005-0000-0000-0000AD000000}"/>
    <cellStyle name="20% - Accent1 9 3 2" xfId="176" xr:uid="{00000000-0005-0000-0000-0000AE000000}"/>
    <cellStyle name="20% - Accent1 9 3 2 2" xfId="177" xr:uid="{00000000-0005-0000-0000-0000AF000000}"/>
    <cellStyle name="20% - Accent1 9 3 3" xfId="178" xr:uid="{00000000-0005-0000-0000-0000B0000000}"/>
    <cellStyle name="20% - Accent1 9 3 4" xfId="179" xr:uid="{00000000-0005-0000-0000-0000B1000000}"/>
    <cellStyle name="20% - Accent1 9 4" xfId="180" xr:uid="{00000000-0005-0000-0000-0000B2000000}"/>
    <cellStyle name="20% - Accent1 9 4 2" xfId="181" xr:uid="{00000000-0005-0000-0000-0000B3000000}"/>
    <cellStyle name="20% - Accent1 9 5" xfId="182" xr:uid="{00000000-0005-0000-0000-0000B4000000}"/>
    <cellStyle name="20% - Accent1 9 6" xfId="183" xr:uid="{00000000-0005-0000-0000-0000B5000000}"/>
    <cellStyle name="20% - Accent2 10" xfId="184" xr:uid="{00000000-0005-0000-0000-0000B6000000}"/>
    <cellStyle name="20% - Accent2 10 2" xfId="185" xr:uid="{00000000-0005-0000-0000-0000B7000000}"/>
    <cellStyle name="20% - Accent2 10 2 2" xfId="186" xr:uid="{00000000-0005-0000-0000-0000B8000000}"/>
    <cellStyle name="20% - Accent2 10 2 2 2" xfId="187" xr:uid="{00000000-0005-0000-0000-0000B9000000}"/>
    <cellStyle name="20% - Accent2 10 2 3" xfId="188" xr:uid="{00000000-0005-0000-0000-0000BA000000}"/>
    <cellStyle name="20% - Accent2 10 2 4" xfId="189" xr:uid="{00000000-0005-0000-0000-0000BB000000}"/>
    <cellStyle name="20% - Accent2 10 3" xfId="190" xr:uid="{00000000-0005-0000-0000-0000BC000000}"/>
    <cellStyle name="20% - Accent2 10 3 2" xfId="191" xr:uid="{00000000-0005-0000-0000-0000BD000000}"/>
    <cellStyle name="20% - Accent2 10 4" xfId="192" xr:uid="{00000000-0005-0000-0000-0000BE000000}"/>
    <cellStyle name="20% - Accent2 10 5" xfId="193" xr:uid="{00000000-0005-0000-0000-0000BF000000}"/>
    <cellStyle name="20% - Accent2 11" xfId="194" xr:uid="{00000000-0005-0000-0000-0000C0000000}"/>
    <cellStyle name="20% - Accent2 11 2" xfId="195" xr:uid="{00000000-0005-0000-0000-0000C1000000}"/>
    <cellStyle name="20% - Accent2 11 2 2" xfId="196" xr:uid="{00000000-0005-0000-0000-0000C2000000}"/>
    <cellStyle name="20% - Accent2 11 2 2 2" xfId="197" xr:uid="{00000000-0005-0000-0000-0000C3000000}"/>
    <cellStyle name="20% - Accent2 11 2 3" xfId="198" xr:uid="{00000000-0005-0000-0000-0000C4000000}"/>
    <cellStyle name="20% - Accent2 11 2 4" xfId="199" xr:uid="{00000000-0005-0000-0000-0000C5000000}"/>
    <cellStyle name="20% - Accent2 11 3" xfId="200" xr:uid="{00000000-0005-0000-0000-0000C6000000}"/>
    <cellStyle name="20% - Accent2 11 3 2" xfId="201" xr:uid="{00000000-0005-0000-0000-0000C7000000}"/>
    <cellStyle name="20% - Accent2 11 4" xfId="202" xr:uid="{00000000-0005-0000-0000-0000C8000000}"/>
    <cellStyle name="20% - Accent2 11 5" xfId="203" xr:uid="{00000000-0005-0000-0000-0000C9000000}"/>
    <cellStyle name="20% - Accent2 12" xfId="204" xr:uid="{00000000-0005-0000-0000-0000CA000000}"/>
    <cellStyle name="20% - Accent2 12 2" xfId="205" xr:uid="{00000000-0005-0000-0000-0000CB000000}"/>
    <cellStyle name="20% - Accent2 12 2 2" xfId="206" xr:uid="{00000000-0005-0000-0000-0000CC000000}"/>
    <cellStyle name="20% - Accent2 12 3" xfId="207" xr:uid="{00000000-0005-0000-0000-0000CD000000}"/>
    <cellStyle name="20% - Accent2 12 4" xfId="208" xr:uid="{00000000-0005-0000-0000-0000CE000000}"/>
    <cellStyle name="20% - Accent2 13" xfId="209" xr:uid="{00000000-0005-0000-0000-0000CF000000}"/>
    <cellStyle name="20% - Accent2 13 2" xfId="210" xr:uid="{00000000-0005-0000-0000-0000D0000000}"/>
    <cellStyle name="20% - Accent2 14" xfId="211" xr:uid="{00000000-0005-0000-0000-0000D1000000}"/>
    <cellStyle name="20% - Accent2 14 2" xfId="212" xr:uid="{00000000-0005-0000-0000-0000D2000000}"/>
    <cellStyle name="20% - Accent2 15" xfId="213" xr:uid="{00000000-0005-0000-0000-0000D3000000}"/>
    <cellStyle name="20% - Accent2 16" xfId="214" xr:uid="{00000000-0005-0000-0000-0000D4000000}"/>
    <cellStyle name="20% - Accent2 2" xfId="215" xr:uid="{00000000-0005-0000-0000-0000D5000000}"/>
    <cellStyle name="20% - Accent2 2 2" xfId="216" xr:uid="{00000000-0005-0000-0000-0000D6000000}"/>
    <cellStyle name="20% - Accent2 2 2 2" xfId="217" xr:uid="{00000000-0005-0000-0000-0000D7000000}"/>
    <cellStyle name="20% - Accent2 2 2 2 2" xfId="218" xr:uid="{00000000-0005-0000-0000-0000D8000000}"/>
    <cellStyle name="20% - Accent2 2 2 2 2 2" xfId="219" xr:uid="{00000000-0005-0000-0000-0000D9000000}"/>
    <cellStyle name="20% - Accent2 2 2 2 2 2 2" xfId="220" xr:uid="{00000000-0005-0000-0000-0000DA000000}"/>
    <cellStyle name="20% - Accent2 2 2 2 2 3" xfId="221" xr:uid="{00000000-0005-0000-0000-0000DB000000}"/>
    <cellStyle name="20% - Accent2 2 2 2 2 4" xfId="222" xr:uid="{00000000-0005-0000-0000-0000DC000000}"/>
    <cellStyle name="20% - Accent2 2 2 2 3" xfId="223" xr:uid="{00000000-0005-0000-0000-0000DD000000}"/>
    <cellStyle name="20% - Accent2 2 2 2 3 2" xfId="224" xr:uid="{00000000-0005-0000-0000-0000DE000000}"/>
    <cellStyle name="20% - Accent2 2 2 2 4" xfId="225" xr:uid="{00000000-0005-0000-0000-0000DF000000}"/>
    <cellStyle name="20% - Accent2 2 2 2 5" xfId="226" xr:uid="{00000000-0005-0000-0000-0000E0000000}"/>
    <cellStyle name="20% - Accent2 2 2 3" xfId="227" xr:uid="{00000000-0005-0000-0000-0000E1000000}"/>
    <cellStyle name="20% - Accent2 2 2 3 2" xfId="228" xr:uid="{00000000-0005-0000-0000-0000E2000000}"/>
    <cellStyle name="20% - Accent2 2 2 3 2 2" xfId="229" xr:uid="{00000000-0005-0000-0000-0000E3000000}"/>
    <cellStyle name="20% - Accent2 2 2 3 3" xfId="230" xr:uid="{00000000-0005-0000-0000-0000E4000000}"/>
    <cellStyle name="20% - Accent2 2 2 3 4" xfId="231" xr:uid="{00000000-0005-0000-0000-0000E5000000}"/>
    <cellStyle name="20% - Accent2 2 2 4" xfId="232" xr:uid="{00000000-0005-0000-0000-0000E6000000}"/>
    <cellStyle name="20% - Accent2 2 2 4 2" xfId="233" xr:uid="{00000000-0005-0000-0000-0000E7000000}"/>
    <cellStyle name="20% - Accent2 2 2 5" xfId="234" xr:uid="{00000000-0005-0000-0000-0000E8000000}"/>
    <cellStyle name="20% - Accent2 2 2 5 2" xfId="235" xr:uid="{00000000-0005-0000-0000-0000E9000000}"/>
    <cellStyle name="20% - Accent2 2 2 6" xfId="236" xr:uid="{00000000-0005-0000-0000-0000EA000000}"/>
    <cellStyle name="20% - Accent2 2 2 7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2 2 2" xfId="241" xr:uid="{00000000-0005-0000-0000-0000EF000000}"/>
    <cellStyle name="20% - Accent2 2 3 2 3" xfId="242" xr:uid="{00000000-0005-0000-0000-0000F0000000}"/>
    <cellStyle name="20% - Accent2 2 3 2 4" xfId="243" xr:uid="{00000000-0005-0000-0000-0000F1000000}"/>
    <cellStyle name="20% - Accent2 2 3 3" xfId="244" xr:uid="{00000000-0005-0000-0000-0000F2000000}"/>
    <cellStyle name="20% - Accent2 2 3 3 2" xfId="245" xr:uid="{00000000-0005-0000-0000-0000F3000000}"/>
    <cellStyle name="20% - Accent2 2 3 4" xfId="246" xr:uid="{00000000-0005-0000-0000-0000F4000000}"/>
    <cellStyle name="20% - Accent2 2 3 5" xfId="247" xr:uid="{00000000-0005-0000-0000-0000F5000000}"/>
    <cellStyle name="20% - Accent2 2 4" xfId="248" xr:uid="{00000000-0005-0000-0000-0000F6000000}"/>
    <cellStyle name="20% - Accent2 2 4 2" xfId="249" xr:uid="{00000000-0005-0000-0000-0000F7000000}"/>
    <cellStyle name="20% - Accent2 2 4 2 2" xfId="250" xr:uid="{00000000-0005-0000-0000-0000F8000000}"/>
    <cellStyle name="20% - Accent2 2 4 3" xfId="251" xr:uid="{00000000-0005-0000-0000-0000F9000000}"/>
    <cellStyle name="20% - Accent2 2 4 4" xfId="252" xr:uid="{00000000-0005-0000-0000-0000FA000000}"/>
    <cellStyle name="20% - Accent2 2 5" xfId="253" xr:uid="{00000000-0005-0000-0000-0000FB000000}"/>
    <cellStyle name="20% - Accent2 2 5 2" xfId="254" xr:uid="{00000000-0005-0000-0000-0000FC000000}"/>
    <cellStyle name="20% - Accent2 2 6" xfId="255" xr:uid="{00000000-0005-0000-0000-0000FD000000}"/>
    <cellStyle name="20% - Accent2 2 6 2" xfId="256" xr:uid="{00000000-0005-0000-0000-0000FE000000}"/>
    <cellStyle name="20% - Accent2 2 7" xfId="257" xr:uid="{00000000-0005-0000-0000-0000FF000000}"/>
    <cellStyle name="20% - Accent2 2 8" xfId="258" xr:uid="{00000000-0005-0000-0000-000000010000}"/>
    <cellStyle name="20% - Accent2 3" xfId="259" xr:uid="{00000000-0005-0000-0000-000001010000}"/>
    <cellStyle name="20% - Accent2 3 2" xfId="260" xr:uid="{00000000-0005-0000-0000-000002010000}"/>
    <cellStyle name="20% - Accent2 4" xfId="261" xr:uid="{00000000-0005-0000-0000-000003010000}"/>
    <cellStyle name="20% - Accent2 4 2" xfId="262" xr:uid="{00000000-0005-0000-0000-000004010000}"/>
    <cellStyle name="20% - Accent2 4 2 2" xfId="263" xr:uid="{00000000-0005-0000-0000-000005010000}"/>
    <cellStyle name="20% - Accent2 4 2 2 2" xfId="264" xr:uid="{00000000-0005-0000-0000-000006010000}"/>
    <cellStyle name="20% - Accent2 4 2 2 2 2" xfId="265" xr:uid="{00000000-0005-0000-0000-000007010000}"/>
    <cellStyle name="20% - Accent2 4 2 2 3" xfId="266" xr:uid="{00000000-0005-0000-0000-000008010000}"/>
    <cellStyle name="20% - Accent2 4 2 2 4" xfId="267" xr:uid="{00000000-0005-0000-0000-000009010000}"/>
    <cellStyle name="20% - Accent2 4 2 3" xfId="268" xr:uid="{00000000-0005-0000-0000-00000A010000}"/>
    <cellStyle name="20% - Accent2 4 2 3 2" xfId="269" xr:uid="{00000000-0005-0000-0000-00000B010000}"/>
    <cellStyle name="20% - Accent2 4 2 4" xfId="270" xr:uid="{00000000-0005-0000-0000-00000C010000}"/>
    <cellStyle name="20% - Accent2 4 2 5" xfId="271" xr:uid="{00000000-0005-0000-0000-00000D010000}"/>
    <cellStyle name="20% - Accent2 4 3" xfId="272" xr:uid="{00000000-0005-0000-0000-00000E010000}"/>
    <cellStyle name="20% - Accent2 4 3 2" xfId="273" xr:uid="{00000000-0005-0000-0000-00000F010000}"/>
    <cellStyle name="20% - Accent2 4 3 2 2" xfId="274" xr:uid="{00000000-0005-0000-0000-000010010000}"/>
    <cellStyle name="20% - Accent2 4 3 3" xfId="275" xr:uid="{00000000-0005-0000-0000-000011010000}"/>
    <cellStyle name="20% - Accent2 4 3 4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5 2" xfId="280" xr:uid="{00000000-0005-0000-0000-000016010000}"/>
    <cellStyle name="20% - Accent2 4 6" xfId="281" xr:uid="{00000000-0005-0000-0000-000017010000}"/>
    <cellStyle name="20% - Accent2 4 7" xfId="282" xr:uid="{00000000-0005-0000-0000-000018010000}"/>
    <cellStyle name="20% - Accent2 5" xfId="283" xr:uid="{00000000-0005-0000-0000-000019010000}"/>
    <cellStyle name="20% - Accent2 5 2" xfId="284" xr:uid="{00000000-0005-0000-0000-00001A010000}"/>
    <cellStyle name="20% - Accent2 5 2 2" xfId="285" xr:uid="{00000000-0005-0000-0000-00001B010000}"/>
    <cellStyle name="20% - Accent2 5 2 2 2" xfId="286" xr:uid="{00000000-0005-0000-0000-00001C010000}"/>
    <cellStyle name="20% - Accent2 5 2 2 2 2" xfId="287" xr:uid="{00000000-0005-0000-0000-00001D010000}"/>
    <cellStyle name="20% - Accent2 5 2 2 3" xfId="288" xr:uid="{00000000-0005-0000-0000-00001E010000}"/>
    <cellStyle name="20% - Accent2 5 2 2 4" xfId="289" xr:uid="{00000000-0005-0000-0000-00001F010000}"/>
    <cellStyle name="20% - Accent2 5 2 3" xfId="290" xr:uid="{00000000-0005-0000-0000-000020010000}"/>
    <cellStyle name="20% - Accent2 5 2 3 2" xfId="291" xr:uid="{00000000-0005-0000-0000-000021010000}"/>
    <cellStyle name="20% - Accent2 5 2 4" xfId="292" xr:uid="{00000000-0005-0000-0000-000022010000}"/>
    <cellStyle name="20% - Accent2 5 2 5" xfId="293" xr:uid="{00000000-0005-0000-0000-000023010000}"/>
    <cellStyle name="20% - Accent2 5 3" xfId="294" xr:uid="{00000000-0005-0000-0000-000024010000}"/>
    <cellStyle name="20% - Accent2 5 3 2" xfId="295" xr:uid="{00000000-0005-0000-0000-000025010000}"/>
    <cellStyle name="20% - Accent2 5 3 2 2" xfId="296" xr:uid="{00000000-0005-0000-0000-000026010000}"/>
    <cellStyle name="20% - Accent2 5 3 3" xfId="297" xr:uid="{00000000-0005-0000-0000-000027010000}"/>
    <cellStyle name="20% - Accent2 5 3 4" xfId="298" xr:uid="{00000000-0005-0000-0000-000028010000}"/>
    <cellStyle name="20% - Accent2 5 4" xfId="299" xr:uid="{00000000-0005-0000-0000-000029010000}"/>
    <cellStyle name="20% - Accent2 5 4 2" xfId="300" xr:uid="{00000000-0005-0000-0000-00002A010000}"/>
    <cellStyle name="20% - Accent2 5 5" xfId="301" xr:uid="{00000000-0005-0000-0000-00002B010000}"/>
    <cellStyle name="20% - Accent2 5 5 2" xfId="302" xr:uid="{00000000-0005-0000-0000-00002C010000}"/>
    <cellStyle name="20% - Accent2 5 6" xfId="303" xr:uid="{00000000-0005-0000-0000-00002D010000}"/>
    <cellStyle name="20% - Accent2 5 7" xfId="304" xr:uid="{00000000-0005-0000-0000-00002E010000}"/>
    <cellStyle name="20% - Accent2 6" xfId="305" xr:uid="{00000000-0005-0000-0000-00002F010000}"/>
    <cellStyle name="20% - Accent2 7" xfId="306" xr:uid="{00000000-0005-0000-0000-000030010000}"/>
    <cellStyle name="20% - Accent2 7 2" xfId="307" xr:uid="{00000000-0005-0000-0000-000031010000}"/>
    <cellStyle name="20% - Accent2 7 2 2" xfId="308" xr:uid="{00000000-0005-0000-0000-000032010000}"/>
    <cellStyle name="20% - Accent2 7 2 2 2" xfId="309" xr:uid="{00000000-0005-0000-0000-000033010000}"/>
    <cellStyle name="20% - Accent2 7 2 2 2 2" xfId="310" xr:uid="{00000000-0005-0000-0000-000034010000}"/>
    <cellStyle name="20% - Accent2 7 2 2 3" xfId="311" xr:uid="{00000000-0005-0000-0000-000035010000}"/>
    <cellStyle name="20% - Accent2 7 2 2 4" xfId="312" xr:uid="{00000000-0005-0000-0000-000036010000}"/>
    <cellStyle name="20% - Accent2 7 2 3" xfId="313" xr:uid="{00000000-0005-0000-0000-000037010000}"/>
    <cellStyle name="20% - Accent2 7 2 3 2" xfId="314" xr:uid="{00000000-0005-0000-0000-000038010000}"/>
    <cellStyle name="20% - Accent2 7 2 4" xfId="315" xr:uid="{00000000-0005-0000-0000-000039010000}"/>
    <cellStyle name="20% - Accent2 7 2 5" xfId="316" xr:uid="{00000000-0005-0000-0000-00003A010000}"/>
    <cellStyle name="20% - Accent2 7 3" xfId="317" xr:uid="{00000000-0005-0000-0000-00003B010000}"/>
    <cellStyle name="20% - Accent2 7 3 2" xfId="318" xr:uid="{00000000-0005-0000-0000-00003C010000}"/>
    <cellStyle name="20% - Accent2 7 3 2 2" xfId="319" xr:uid="{00000000-0005-0000-0000-00003D010000}"/>
    <cellStyle name="20% - Accent2 7 3 3" xfId="320" xr:uid="{00000000-0005-0000-0000-00003E010000}"/>
    <cellStyle name="20% - Accent2 7 3 4" xfId="321" xr:uid="{00000000-0005-0000-0000-00003F010000}"/>
    <cellStyle name="20% - Accent2 7 4" xfId="322" xr:uid="{00000000-0005-0000-0000-000040010000}"/>
    <cellStyle name="20% - Accent2 7 4 2" xfId="323" xr:uid="{00000000-0005-0000-0000-000041010000}"/>
    <cellStyle name="20% - Accent2 7 5" xfId="324" xr:uid="{00000000-0005-0000-0000-000042010000}"/>
    <cellStyle name="20% - Accent2 7 6" xfId="325" xr:uid="{00000000-0005-0000-0000-000043010000}"/>
    <cellStyle name="20% - Accent2 8" xfId="326" xr:uid="{00000000-0005-0000-0000-000044010000}"/>
    <cellStyle name="20% - Accent2 8 2" xfId="327" xr:uid="{00000000-0005-0000-0000-000045010000}"/>
    <cellStyle name="20% - Accent2 8 2 2" xfId="328" xr:uid="{00000000-0005-0000-0000-000046010000}"/>
    <cellStyle name="20% - Accent2 8 2 2 2" xfId="329" xr:uid="{00000000-0005-0000-0000-000047010000}"/>
    <cellStyle name="20% - Accent2 8 2 2 2 2" xfId="330" xr:uid="{00000000-0005-0000-0000-000048010000}"/>
    <cellStyle name="20% - Accent2 8 2 2 3" xfId="331" xr:uid="{00000000-0005-0000-0000-000049010000}"/>
    <cellStyle name="20% - Accent2 8 2 2 4" xfId="332" xr:uid="{00000000-0005-0000-0000-00004A010000}"/>
    <cellStyle name="20% - Accent2 8 2 3" xfId="333" xr:uid="{00000000-0005-0000-0000-00004B010000}"/>
    <cellStyle name="20% - Accent2 8 2 3 2" xfId="334" xr:uid="{00000000-0005-0000-0000-00004C010000}"/>
    <cellStyle name="20% - Accent2 8 2 4" xfId="335" xr:uid="{00000000-0005-0000-0000-00004D010000}"/>
    <cellStyle name="20% - Accent2 8 2 5" xfId="336" xr:uid="{00000000-0005-0000-0000-00004E010000}"/>
    <cellStyle name="20% - Accent2 8 3" xfId="337" xr:uid="{00000000-0005-0000-0000-00004F010000}"/>
    <cellStyle name="20% - Accent2 8 3 2" xfId="338" xr:uid="{00000000-0005-0000-0000-000050010000}"/>
    <cellStyle name="20% - Accent2 8 3 2 2" xfId="339" xr:uid="{00000000-0005-0000-0000-000051010000}"/>
    <cellStyle name="20% - Accent2 8 3 3" xfId="340" xr:uid="{00000000-0005-0000-0000-000052010000}"/>
    <cellStyle name="20% - Accent2 8 3 4" xfId="341" xr:uid="{00000000-0005-0000-0000-000053010000}"/>
    <cellStyle name="20% - Accent2 8 4" xfId="342" xr:uid="{00000000-0005-0000-0000-000054010000}"/>
    <cellStyle name="20% - Accent2 8 4 2" xfId="343" xr:uid="{00000000-0005-0000-0000-000055010000}"/>
    <cellStyle name="20% - Accent2 8 5" xfId="344" xr:uid="{00000000-0005-0000-0000-000056010000}"/>
    <cellStyle name="20% - Accent2 8 6" xfId="345" xr:uid="{00000000-0005-0000-0000-000057010000}"/>
    <cellStyle name="20% - Accent2 9" xfId="346" xr:uid="{00000000-0005-0000-0000-000058010000}"/>
    <cellStyle name="20% - Accent2 9 2" xfId="347" xr:uid="{00000000-0005-0000-0000-000059010000}"/>
    <cellStyle name="20% - Accent2 9 2 2" xfId="348" xr:uid="{00000000-0005-0000-0000-00005A010000}"/>
    <cellStyle name="20% - Accent2 9 2 2 2" xfId="349" xr:uid="{00000000-0005-0000-0000-00005B010000}"/>
    <cellStyle name="20% - Accent2 9 2 2 2 2" xfId="350" xr:uid="{00000000-0005-0000-0000-00005C010000}"/>
    <cellStyle name="20% - Accent2 9 2 2 3" xfId="351" xr:uid="{00000000-0005-0000-0000-00005D010000}"/>
    <cellStyle name="20% - Accent2 9 2 2 4" xfId="352" xr:uid="{00000000-0005-0000-0000-00005E010000}"/>
    <cellStyle name="20% - Accent2 9 2 3" xfId="353" xr:uid="{00000000-0005-0000-0000-00005F010000}"/>
    <cellStyle name="20% - Accent2 9 2 3 2" xfId="354" xr:uid="{00000000-0005-0000-0000-000060010000}"/>
    <cellStyle name="20% - Accent2 9 2 4" xfId="355" xr:uid="{00000000-0005-0000-0000-000061010000}"/>
    <cellStyle name="20% - Accent2 9 2 5" xfId="356" xr:uid="{00000000-0005-0000-0000-000062010000}"/>
    <cellStyle name="20% - Accent2 9 3" xfId="357" xr:uid="{00000000-0005-0000-0000-000063010000}"/>
    <cellStyle name="20% - Accent2 9 3 2" xfId="358" xr:uid="{00000000-0005-0000-0000-000064010000}"/>
    <cellStyle name="20% - Accent2 9 3 2 2" xfId="359" xr:uid="{00000000-0005-0000-0000-000065010000}"/>
    <cellStyle name="20% - Accent2 9 3 3" xfId="360" xr:uid="{00000000-0005-0000-0000-000066010000}"/>
    <cellStyle name="20% - Accent2 9 3 4" xfId="361" xr:uid="{00000000-0005-0000-0000-000067010000}"/>
    <cellStyle name="20% - Accent2 9 4" xfId="362" xr:uid="{00000000-0005-0000-0000-000068010000}"/>
    <cellStyle name="20% - Accent2 9 4 2" xfId="363" xr:uid="{00000000-0005-0000-0000-000069010000}"/>
    <cellStyle name="20% - Accent2 9 5" xfId="364" xr:uid="{00000000-0005-0000-0000-00006A010000}"/>
    <cellStyle name="20% - Accent2 9 6" xfId="365" xr:uid="{00000000-0005-0000-0000-00006B010000}"/>
    <cellStyle name="20% - Accent3 10" xfId="366" xr:uid="{00000000-0005-0000-0000-00006C010000}"/>
    <cellStyle name="20% - Accent3 10 2" xfId="367" xr:uid="{00000000-0005-0000-0000-00006D010000}"/>
    <cellStyle name="20% - Accent3 10 2 2" xfId="368" xr:uid="{00000000-0005-0000-0000-00006E010000}"/>
    <cellStyle name="20% - Accent3 10 2 2 2" xfId="369" xr:uid="{00000000-0005-0000-0000-00006F010000}"/>
    <cellStyle name="20% - Accent3 10 2 3" xfId="370" xr:uid="{00000000-0005-0000-0000-000070010000}"/>
    <cellStyle name="20% - Accent3 10 2 4" xfId="371" xr:uid="{00000000-0005-0000-0000-000071010000}"/>
    <cellStyle name="20% - Accent3 10 3" xfId="372" xr:uid="{00000000-0005-0000-0000-000072010000}"/>
    <cellStyle name="20% - Accent3 10 3 2" xfId="373" xr:uid="{00000000-0005-0000-0000-000073010000}"/>
    <cellStyle name="20% - Accent3 10 4" xfId="374" xr:uid="{00000000-0005-0000-0000-000074010000}"/>
    <cellStyle name="20% - Accent3 10 5" xfId="375" xr:uid="{00000000-0005-0000-0000-000075010000}"/>
    <cellStyle name="20% - Accent3 11" xfId="376" xr:uid="{00000000-0005-0000-0000-000076010000}"/>
    <cellStyle name="20% - Accent3 11 2" xfId="377" xr:uid="{00000000-0005-0000-0000-000077010000}"/>
    <cellStyle name="20% - Accent3 11 2 2" xfId="378" xr:uid="{00000000-0005-0000-0000-000078010000}"/>
    <cellStyle name="20% - Accent3 11 2 2 2" xfId="379" xr:uid="{00000000-0005-0000-0000-000079010000}"/>
    <cellStyle name="20% - Accent3 11 2 3" xfId="380" xr:uid="{00000000-0005-0000-0000-00007A010000}"/>
    <cellStyle name="20% - Accent3 11 2 4" xfId="381" xr:uid="{00000000-0005-0000-0000-00007B010000}"/>
    <cellStyle name="20% - Accent3 11 3" xfId="382" xr:uid="{00000000-0005-0000-0000-00007C010000}"/>
    <cellStyle name="20% - Accent3 11 3 2" xfId="383" xr:uid="{00000000-0005-0000-0000-00007D010000}"/>
    <cellStyle name="20% - Accent3 11 4" xfId="384" xr:uid="{00000000-0005-0000-0000-00007E010000}"/>
    <cellStyle name="20% - Accent3 11 5" xfId="385" xr:uid="{00000000-0005-0000-0000-00007F010000}"/>
    <cellStyle name="20% - Accent3 12" xfId="386" xr:uid="{00000000-0005-0000-0000-000080010000}"/>
    <cellStyle name="20% - Accent3 12 2" xfId="387" xr:uid="{00000000-0005-0000-0000-000081010000}"/>
    <cellStyle name="20% - Accent3 12 2 2" xfId="388" xr:uid="{00000000-0005-0000-0000-000082010000}"/>
    <cellStyle name="20% - Accent3 12 3" xfId="389" xr:uid="{00000000-0005-0000-0000-000083010000}"/>
    <cellStyle name="20% - Accent3 12 4" xfId="390" xr:uid="{00000000-0005-0000-0000-000084010000}"/>
    <cellStyle name="20% - Accent3 13" xfId="391" xr:uid="{00000000-0005-0000-0000-000085010000}"/>
    <cellStyle name="20% - Accent3 13 2" xfId="392" xr:uid="{00000000-0005-0000-0000-000086010000}"/>
    <cellStyle name="20% - Accent3 14" xfId="393" xr:uid="{00000000-0005-0000-0000-000087010000}"/>
    <cellStyle name="20% - Accent3 14 2" xfId="394" xr:uid="{00000000-0005-0000-0000-000088010000}"/>
    <cellStyle name="20% - Accent3 15" xfId="395" xr:uid="{00000000-0005-0000-0000-000089010000}"/>
    <cellStyle name="20% - Accent3 16" xfId="396" xr:uid="{00000000-0005-0000-0000-00008A010000}"/>
    <cellStyle name="20% - Accent3 2" xfId="397" xr:uid="{00000000-0005-0000-0000-00008B010000}"/>
    <cellStyle name="20% - Accent3 2 2" xfId="398" xr:uid="{00000000-0005-0000-0000-00008C010000}"/>
    <cellStyle name="20% - Accent3 2 2 2" xfId="399" xr:uid="{00000000-0005-0000-0000-00008D010000}"/>
    <cellStyle name="20% - Accent3 2 2 2 2" xfId="400" xr:uid="{00000000-0005-0000-0000-00008E010000}"/>
    <cellStyle name="20% - Accent3 2 2 2 2 2" xfId="401" xr:uid="{00000000-0005-0000-0000-00008F010000}"/>
    <cellStyle name="20% - Accent3 2 2 2 2 2 2" xfId="402" xr:uid="{00000000-0005-0000-0000-000090010000}"/>
    <cellStyle name="20% - Accent3 2 2 2 2 3" xfId="403" xr:uid="{00000000-0005-0000-0000-000091010000}"/>
    <cellStyle name="20% - Accent3 2 2 2 2 4" xfId="404" xr:uid="{00000000-0005-0000-0000-000092010000}"/>
    <cellStyle name="20% - Accent3 2 2 2 3" xfId="405" xr:uid="{00000000-0005-0000-0000-000093010000}"/>
    <cellStyle name="20% - Accent3 2 2 2 3 2" xfId="406" xr:uid="{00000000-0005-0000-0000-000094010000}"/>
    <cellStyle name="20% - Accent3 2 2 2 4" xfId="407" xr:uid="{00000000-0005-0000-0000-000095010000}"/>
    <cellStyle name="20% - Accent3 2 2 2 5" xfId="408" xr:uid="{00000000-0005-0000-0000-000096010000}"/>
    <cellStyle name="20% - Accent3 2 2 3" xfId="409" xr:uid="{00000000-0005-0000-0000-000097010000}"/>
    <cellStyle name="20% - Accent3 2 2 3 2" xfId="410" xr:uid="{00000000-0005-0000-0000-000098010000}"/>
    <cellStyle name="20% - Accent3 2 2 3 2 2" xfId="411" xr:uid="{00000000-0005-0000-0000-000099010000}"/>
    <cellStyle name="20% - Accent3 2 2 3 3" xfId="412" xr:uid="{00000000-0005-0000-0000-00009A010000}"/>
    <cellStyle name="20% - Accent3 2 2 3 4" xfId="413" xr:uid="{00000000-0005-0000-0000-00009B010000}"/>
    <cellStyle name="20% - Accent3 2 2 4" xfId="414" xr:uid="{00000000-0005-0000-0000-00009C010000}"/>
    <cellStyle name="20% - Accent3 2 2 4 2" xfId="415" xr:uid="{00000000-0005-0000-0000-00009D010000}"/>
    <cellStyle name="20% - Accent3 2 2 5" xfId="416" xr:uid="{00000000-0005-0000-0000-00009E010000}"/>
    <cellStyle name="20% - Accent3 2 2 5 2" xfId="417" xr:uid="{00000000-0005-0000-0000-00009F010000}"/>
    <cellStyle name="20% - Accent3 2 2 6" xfId="418" xr:uid="{00000000-0005-0000-0000-0000A0010000}"/>
    <cellStyle name="20% - Accent3 2 2 7" xfId="419" xr:uid="{00000000-0005-0000-0000-0000A1010000}"/>
    <cellStyle name="20% - Accent3 2 3" xfId="420" xr:uid="{00000000-0005-0000-0000-0000A2010000}"/>
    <cellStyle name="20% - Accent3 2 3 2" xfId="421" xr:uid="{00000000-0005-0000-0000-0000A3010000}"/>
    <cellStyle name="20% - Accent3 2 3 2 2" xfId="422" xr:uid="{00000000-0005-0000-0000-0000A4010000}"/>
    <cellStyle name="20% - Accent3 2 3 2 2 2" xfId="423" xr:uid="{00000000-0005-0000-0000-0000A5010000}"/>
    <cellStyle name="20% - Accent3 2 3 2 3" xfId="424" xr:uid="{00000000-0005-0000-0000-0000A6010000}"/>
    <cellStyle name="20% - Accent3 2 3 2 4" xfId="425" xr:uid="{00000000-0005-0000-0000-0000A7010000}"/>
    <cellStyle name="20% - Accent3 2 3 3" xfId="426" xr:uid="{00000000-0005-0000-0000-0000A8010000}"/>
    <cellStyle name="20% - Accent3 2 3 3 2" xfId="427" xr:uid="{00000000-0005-0000-0000-0000A9010000}"/>
    <cellStyle name="20% - Accent3 2 3 4" xfId="428" xr:uid="{00000000-0005-0000-0000-0000AA010000}"/>
    <cellStyle name="20% - Accent3 2 3 5" xfId="429" xr:uid="{00000000-0005-0000-0000-0000AB010000}"/>
    <cellStyle name="20% - Accent3 2 4" xfId="430" xr:uid="{00000000-0005-0000-0000-0000AC010000}"/>
    <cellStyle name="20% - Accent3 2 4 2" xfId="431" xr:uid="{00000000-0005-0000-0000-0000AD010000}"/>
    <cellStyle name="20% - Accent3 2 4 2 2" xfId="432" xr:uid="{00000000-0005-0000-0000-0000AE010000}"/>
    <cellStyle name="20% - Accent3 2 4 3" xfId="433" xr:uid="{00000000-0005-0000-0000-0000AF010000}"/>
    <cellStyle name="20% - Accent3 2 4 4" xfId="434" xr:uid="{00000000-0005-0000-0000-0000B0010000}"/>
    <cellStyle name="20% - Accent3 2 5" xfId="435" xr:uid="{00000000-0005-0000-0000-0000B1010000}"/>
    <cellStyle name="20% - Accent3 2 5 2" xfId="436" xr:uid="{00000000-0005-0000-0000-0000B2010000}"/>
    <cellStyle name="20% - Accent3 2 6" xfId="437" xr:uid="{00000000-0005-0000-0000-0000B3010000}"/>
    <cellStyle name="20% - Accent3 2 6 2" xfId="438" xr:uid="{00000000-0005-0000-0000-0000B4010000}"/>
    <cellStyle name="20% - Accent3 2 7" xfId="439" xr:uid="{00000000-0005-0000-0000-0000B5010000}"/>
    <cellStyle name="20% - Accent3 2 8" xfId="440" xr:uid="{00000000-0005-0000-0000-0000B6010000}"/>
    <cellStyle name="20% - Accent3 3" xfId="441" xr:uid="{00000000-0005-0000-0000-0000B7010000}"/>
    <cellStyle name="20% - Accent3 3 2" xfId="442" xr:uid="{00000000-0005-0000-0000-0000B8010000}"/>
    <cellStyle name="20% - Accent3 4" xfId="443" xr:uid="{00000000-0005-0000-0000-0000B9010000}"/>
    <cellStyle name="20% - Accent3 4 2" xfId="444" xr:uid="{00000000-0005-0000-0000-0000BA010000}"/>
    <cellStyle name="20% - Accent3 4 2 2" xfId="445" xr:uid="{00000000-0005-0000-0000-0000BB010000}"/>
    <cellStyle name="20% - Accent3 4 2 2 2" xfId="446" xr:uid="{00000000-0005-0000-0000-0000BC010000}"/>
    <cellStyle name="20% - Accent3 4 2 2 2 2" xfId="447" xr:uid="{00000000-0005-0000-0000-0000BD010000}"/>
    <cellStyle name="20% - Accent3 4 2 2 3" xfId="448" xr:uid="{00000000-0005-0000-0000-0000BE010000}"/>
    <cellStyle name="20% - Accent3 4 2 2 4" xfId="449" xr:uid="{00000000-0005-0000-0000-0000BF010000}"/>
    <cellStyle name="20% - Accent3 4 2 3" xfId="450" xr:uid="{00000000-0005-0000-0000-0000C0010000}"/>
    <cellStyle name="20% - Accent3 4 2 3 2" xfId="451" xr:uid="{00000000-0005-0000-0000-0000C1010000}"/>
    <cellStyle name="20% - Accent3 4 2 4" xfId="452" xr:uid="{00000000-0005-0000-0000-0000C2010000}"/>
    <cellStyle name="20% - Accent3 4 2 5" xfId="453" xr:uid="{00000000-0005-0000-0000-0000C3010000}"/>
    <cellStyle name="20% - Accent3 4 3" xfId="454" xr:uid="{00000000-0005-0000-0000-0000C4010000}"/>
    <cellStyle name="20% - Accent3 4 3 2" xfId="455" xr:uid="{00000000-0005-0000-0000-0000C5010000}"/>
    <cellStyle name="20% - Accent3 4 3 2 2" xfId="456" xr:uid="{00000000-0005-0000-0000-0000C6010000}"/>
    <cellStyle name="20% - Accent3 4 3 3" xfId="457" xr:uid="{00000000-0005-0000-0000-0000C7010000}"/>
    <cellStyle name="20% - Accent3 4 3 4" xfId="458" xr:uid="{00000000-0005-0000-0000-0000C8010000}"/>
    <cellStyle name="20% - Accent3 4 4" xfId="459" xr:uid="{00000000-0005-0000-0000-0000C9010000}"/>
    <cellStyle name="20% - Accent3 4 4 2" xfId="460" xr:uid="{00000000-0005-0000-0000-0000CA010000}"/>
    <cellStyle name="20% - Accent3 4 5" xfId="461" xr:uid="{00000000-0005-0000-0000-0000CB010000}"/>
    <cellStyle name="20% - Accent3 4 5 2" xfId="462" xr:uid="{00000000-0005-0000-0000-0000CC010000}"/>
    <cellStyle name="20% - Accent3 4 6" xfId="463" xr:uid="{00000000-0005-0000-0000-0000CD010000}"/>
    <cellStyle name="20% - Accent3 4 7" xfId="464" xr:uid="{00000000-0005-0000-0000-0000CE010000}"/>
    <cellStyle name="20% - Accent3 5" xfId="465" xr:uid="{00000000-0005-0000-0000-0000CF010000}"/>
    <cellStyle name="20% - Accent3 5 2" xfId="466" xr:uid="{00000000-0005-0000-0000-0000D0010000}"/>
    <cellStyle name="20% - Accent3 5 2 2" xfId="467" xr:uid="{00000000-0005-0000-0000-0000D1010000}"/>
    <cellStyle name="20% - Accent3 5 2 2 2" xfId="468" xr:uid="{00000000-0005-0000-0000-0000D2010000}"/>
    <cellStyle name="20% - Accent3 5 2 2 2 2" xfId="469" xr:uid="{00000000-0005-0000-0000-0000D3010000}"/>
    <cellStyle name="20% - Accent3 5 2 2 3" xfId="470" xr:uid="{00000000-0005-0000-0000-0000D4010000}"/>
    <cellStyle name="20% - Accent3 5 2 2 4" xfId="471" xr:uid="{00000000-0005-0000-0000-0000D5010000}"/>
    <cellStyle name="20% - Accent3 5 2 3" xfId="472" xr:uid="{00000000-0005-0000-0000-0000D6010000}"/>
    <cellStyle name="20% - Accent3 5 2 3 2" xfId="473" xr:uid="{00000000-0005-0000-0000-0000D7010000}"/>
    <cellStyle name="20% - Accent3 5 2 4" xfId="474" xr:uid="{00000000-0005-0000-0000-0000D8010000}"/>
    <cellStyle name="20% - Accent3 5 2 5" xfId="475" xr:uid="{00000000-0005-0000-0000-0000D9010000}"/>
    <cellStyle name="20% - Accent3 5 3" xfId="476" xr:uid="{00000000-0005-0000-0000-0000DA010000}"/>
    <cellStyle name="20% - Accent3 5 3 2" xfId="477" xr:uid="{00000000-0005-0000-0000-0000DB010000}"/>
    <cellStyle name="20% - Accent3 5 3 2 2" xfId="478" xr:uid="{00000000-0005-0000-0000-0000DC010000}"/>
    <cellStyle name="20% - Accent3 5 3 3" xfId="479" xr:uid="{00000000-0005-0000-0000-0000DD010000}"/>
    <cellStyle name="20% - Accent3 5 3 4" xfId="480" xr:uid="{00000000-0005-0000-0000-0000DE010000}"/>
    <cellStyle name="20% - Accent3 5 4" xfId="481" xr:uid="{00000000-0005-0000-0000-0000DF010000}"/>
    <cellStyle name="20% - Accent3 5 4 2" xfId="482" xr:uid="{00000000-0005-0000-0000-0000E0010000}"/>
    <cellStyle name="20% - Accent3 5 5" xfId="483" xr:uid="{00000000-0005-0000-0000-0000E1010000}"/>
    <cellStyle name="20% - Accent3 5 5 2" xfId="484" xr:uid="{00000000-0005-0000-0000-0000E2010000}"/>
    <cellStyle name="20% - Accent3 5 6" xfId="485" xr:uid="{00000000-0005-0000-0000-0000E3010000}"/>
    <cellStyle name="20% - Accent3 5 7" xfId="486" xr:uid="{00000000-0005-0000-0000-0000E4010000}"/>
    <cellStyle name="20% - Accent3 6" xfId="487" xr:uid="{00000000-0005-0000-0000-0000E5010000}"/>
    <cellStyle name="20% - Accent3 7" xfId="488" xr:uid="{00000000-0005-0000-0000-0000E6010000}"/>
    <cellStyle name="20% - Accent3 7 2" xfId="489" xr:uid="{00000000-0005-0000-0000-0000E7010000}"/>
    <cellStyle name="20% - Accent3 7 2 2" xfId="490" xr:uid="{00000000-0005-0000-0000-0000E8010000}"/>
    <cellStyle name="20% - Accent3 7 2 2 2" xfId="491" xr:uid="{00000000-0005-0000-0000-0000E9010000}"/>
    <cellStyle name="20% - Accent3 7 2 2 2 2" xfId="492" xr:uid="{00000000-0005-0000-0000-0000EA010000}"/>
    <cellStyle name="20% - Accent3 7 2 2 3" xfId="493" xr:uid="{00000000-0005-0000-0000-0000EB010000}"/>
    <cellStyle name="20% - Accent3 7 2 2 4" xfId="494" xr:uid="{00000000-0005-0000-0000-0000EC010000}"/>
    <cellStyle name="20% - Accent3 7 2 3" xfId="495" xr:uid="{00000000-0005-0000-0000-0000ED010000}"/>
    <cellStyle name="20% - Accent3 7 2 3 2" xfId="496" xr:uid="{00000000-0005-0000-0000-0000EE010000}"/>
    <cellStyle name="20% - Accent3 7 2 4" xfId="497" xr:uid="{00000000-0005-0000-0000-0000EF010000}"/>
    <cellStyle name="20% - Accent3 7 2 5" xfId="498" xr:uid="{00000000-0005-0000-0000-0000F0010000}"/>
    <cellStyle name="20% - Accent3 7 3" xfId="499" xr:uid="{00000000-0005-0000-0000-0000F1010000}"/>
    <cellStyle name="20% - Accent3 7 3 2" xfId="500" xr:uid="{00000000-0005-0000-0000-0000F2010000}"/>
    <cellStyle name="20% - Accent3 7 3 2 2" xfId="501" xr:uid="{00000000-0005-0000-0000-0000F3010000}"/>
    <cellStyle name="20% - Accent3 7 3 3" xfId="502" xr:uid="{00000000-0005-0000-0000-0000F4010000}"/>
    <cellStyle name="20% - Accent3 7 3 4" xfId="503" xr:uid="{00000000-0005-0000-0000-0000F5010000}"/>
    <cellStyle name="20% - Accent3 7 4" xfId="504" xr:uid="{00000000-0005-0000-0000-0000F6010000}"/>
    <cellStyle name="20% - Accent3 7 4 2" xfId="505" xr:uid="{00000000-0005-0000-0000-0000F7010000}"/>
    <cellStyle name="20% - Accent3 7 5" xfId="506" xr:uid="{00000000-0005-0000-0000-0000F8010000}"/>
    <cellStyle name="20% - Accent3 7 6" xfId="507" xr:uid="{00000000-0005-0000-0000-0000F9010000}"/>
    <cellStyle name="20% - Accent3 8" xfId="508" xr:uid="{00000000-0005-0000-0000-0000FA010000}"/>
    <cellStyle name="20% - Accent3 8 2" xfId="509" xr:uid="{00000000-0005-0000-0000-0000FB010000}"/>
    <cellStyle name="20% - Accent3 8 2 2" xfId="510" xr:uid="{00000000-0005-0000-0000-0000FC010000}"/>
    <cellStyle name="20% - Accent3 8 2 2 2" xfId="511" xr:uid="{00000000-0005-0000-0000-0000FD010000}"/>
    <cellStyle name="20% - Accent3 8 2 2 2 2" xfId="512" xr:uid="{00000000-0005-0000-0000-0000FE010000}"/>
    <cellStyle name="20% - Accent3 8 2 2 3" xfId="513" xr:uid="{00000000-0005-0000-0000-0000FF010000}"/>
    <cellStyle name="20% - Accent3 8 2 2 4" xfId="514" xr:uid="{00000000-0005-0000-0000-000000020000}"/>
    <cellStyle name="20% - Accent3 8 2 3" xfId="515" xr:uid="{00000000-0005-0000-0000-000001020000}"/>
    <cellStyle name="20% - Accent3 8 2 3 2" xfId="516" xr:uid="{00000000-0005-0000-0000-000002020000}"/>
    <cellStyle name="20% - Accent3 8 2 4" xfId="517" xr:uid="{00000000-0005-0000-0000-000003020000}"/>
    <cellStyle name="20% - Accent3 8 2 5" xfId="518" xr:uid="{00000000-0005-0000-0000-000004020000}"/>
    <cellStyle name="20% - Accent3 8 3" xfId="519" xr:uid="{00000000-0005-0000-0000-000005020000}"/>
    <cellStyle name="20% - Accent3 8 3 2" xfId="520" xr:uid="{00000000-0005-0000-0000-000006020000}"/>
    <cellStyle name="20% - Accent3 8 3 2 2" xfId="521" xr:uid="{00000000-0005-0000-0000-000007020000}"/>
    <cellStyle name="20% - Accent3 8 3 3" xfId="522" xr:uid="{00000000-0005-0000-0000-000008020000}"/>
    <cellStyle name="20% - Accent3 8 3 4" xfId="523" xr:uid="{00000000-0005-0000-0000-000009020000}"/>
    <cellStyle name="20% - Accent3 8 4" xfId="524" xr:uid="{00000000-0005-0000-0000-00000A020000}"/>
    <cellStyle name="20% - Accent3 8 4 2" xfId="525" xr:uid="{00000000-0005-0000-0000-00000B020000}"/>
    <cellStyle name="20% - Accent3 8 5" xfId="526" xr:uid="{00000000-0005-0000-0000-00000C020000}"/>
    <cellStyle name="20% - Accent3 8 6" xfId="527" xr:uid="{00000000-0005-0000-0000-00000D020000}"/>
    <cellStyle name="20% - Accent3 9" xfId="528" xr:uid="{00000000-0005-0000-0000-00000E020000}"/>
    <cellStyle name="20% - Accent3 9 2" xfId="529" xr:uid="{00000000-0005-0000-0000-00000F020000}"/>
    <cellStyle name="20% - Accent3 9 2 2" xfId="530" xr:uid="{00000000-0005-0000-0000-000010020000}"/>
    <cellStyle name="20% - Accent3 9 2 2 2" xfId="531" xr:uid="{00000000-0005-0000-0000-000011020000}"/>
    <cellStyle name="20% - Accent3 9 2 2 2 2" xfId="532" xr:uid="{00000000-0005-0000-0000-000012020000}"/>
    <cellStyle name="20% - Accent3 9 2 2 3" xfId="533" xr:uid="{00000000-0005-0000-0000-000013020000}"/>
    <cellStyle name="20% - Accent3 9 2 2 4" xfId="534" xr:uid="{00000000-0005-0000-0000-000014020000}"/>
    <cellStyle name="20% - Accent3 9 2 3" xfId="535" xr:uid="{00000000-0005-0000-0000-000015020000}"/>
    <cellStyle name="20% - Accent3 9 2 3 2" xfId="536" xr:uid="{00000000-0005-0000-0000-000016020000}"/>
    <cellStyle name="20% - Accent3 9 2 4" xfId="537" xr:uid="{00000000-0005-0000-0000-000017020000}"/>
    <cellStyle name="20% - Accent3 9 2 5" xfId="538" xr:uid="{00000000-0005-0000-0000-000018020000}"/>
    <cellStyle name="20% - Accent3 9 3" xfId="539" xr:uid="{00000000-0005-0000-0000-000019020000}"/>
    <cellStyle name="20% - Accent3 9 3 2" xfId="540" xr:uid="{00000000-0005-0000-0000-00001A020000}"/>
    <cellStyle name="20% - Accent3 9 3 2 2" xfId="541" xr:uid="{00000000-0005-0000-0000-00001B020000}"/>
    <cellStyle name="20% - Accent3 9 3 3" xfId="542" xr:uid="{00000000-0005-0000-0000-00001C020000}"/>
    <cellStyle name="20% - Accent3 9 3 4" xfId="543" xr:uid="{00000000-0005-0000-0000-00001D020000}"/>
    <cellStyle name="20% - Accent3 9 4" xfId="544" xr:uid="{00000000-0005-0000-0000-00001E020000}"/>
    <cellStyle name="20% - Accent3 9 4 2" xfId="545" xr:uid="{00000000-0005-0000-0000-00001F020000}"/>
    <cellStyle name="20% - Accent3 9 5" xfId="546" xr:uid="{00000000-0005-0000-0000-000020020000}"/>
    <cellStyle name="20% - Accent3 9 6" xfId="547" xr:uid="{00000000-0005-0000-0000-000021020000}"/>
    <cellStyle name="20% - Accent4 10" xfId="548" xr:uid="{00000000-0005-0000-0000-000022020000}"/>
    <cellStyle name="20% - Accent4 10 2" xfId="549" xr:uid="{00000000-0005-0000-0000-000023020000}"/>
    <cellStyle name="20% - Accent4 10 2 2" xfId="550" xr:uid="{00000000-0005-0000-0000-000024020000}"/>
    <cellStyle name="20% - Accent4 10 2 2 2" xfId="551" xr:uid="{00000000-0005-0000-0000-000025020000}"/>
    <cellStyle name="20% - Accent4 10 2 3" xfId="552" xr:uid="{00000000-0005-0000-0000-000026020000}"/>
    <cellStyle name="20% - Accent4 10 2 4" xfId="553" xr:uid="{00000000-0005-0000-0000-000027020000}"/>
    <cellStyle name="20% - Accent4 10 3" xfId="554" xr:uid="{00000000-0005-0000-0000-000028020000}"/>
    <cellStyle name="20% - Accent4 10 3 2" xfId="555" xr:uid="{00000000-0005-0000-0000-000029020000}"/>
    <cellStyle name="20% - Accent4 10 4" xfId="556" xr:uid="{00000000-0005-0000-0000-00002A020000}"/>
    <cellStyle name="20% - Accent4 10 5" xfId="557" xr:uid="{00000000-0005-0000-0000-00002B020000}"/>
    <cellStyle name="20% - Accent4 11" xfId="558" xr:uid="{00000000-0005-0000-0000-00002C020000}"/>
    <cellStyle name="20% - Accent4 11 2" xfId="559" xr:uid="{00000000-0005-0000-0000-00002D020000}"/>
    <cellStyle name="20% - Accent4 11 2 2" xfId="560" xr:uid="{00000000-0005-0000-0000-00002E020000}"/>
    <cellStyle name="20% - Accent4 11 2 2 2" xfId="561" xr:uid="{00000000-0005-0000-0000-00002F020000}"/>
    <cellStyle name="20% - Accent4 11 2 3" xfId="562" xr:uid="{00000000-0005-0000-0000-000030020000}"/>
    <cellStyle name="20% - Accent4 11 2 4" xfId="563" xr:uid="{00000000-0005-0000-0000-000031020000}"/>
    <cellStyle name="20% - Accent4 11 3" xfId="564" xr:uid="{00000000-0005-0000-0000-000032020000}"/>
    <cellStyle name="20% - Accent4 11 3 2" xfId="565" xr:uid="{00000000-0005-0000-0000-000033020000}"/>
    <cellStyle name="20% - Accent4 11 4" xfId="566" xr:uid="{00000000-0005-0000-0000-000034020000}"/>
    <cellStyle name="20% - Accent4 11 5" xfId="567" xr:uid="{00000000-0005-0000-0000-000035020000}"/>
    <cellStyle name="20% - Accent4 12" xfId="568" xr:uid="{00000000-0005-0000-0000-000036020000}"/>
    <cellStyle name="20% - Accent4 12 2" xfId="569" xr:uid="{00000000-0005-0000-0000-000037020000}"/>
    <cellStyle name="20% - Accent4 12 2 2" xfId="570" xr:uid="{00000000-0005-0000-0000-000038020000}"/>
    <cellStyle name="20% - Accent4 12 3" xfId="571" xr:uid="{00000000-0005-0000-0000-000039020000}"/>
    <cellStyle name="20% - Accent4 12 4" xfId="572" xr:uid="{00000000-0005-0000-0000-00003A020000}"/>
    <cellStyle name="20% - Accent4 13" xfId="573" xr:uid="{00000000-0005-0000-0000-00003B020000}"/>
    <cellStyle name="20% - Accent4 13 2" xfId="574" xr:uid="{00000000-0005-0000-0000-00003C020000}"/>
    <cellStyle name="20% - Accent4 14" xfId="575" xr:uid="{00000000-0005-0000-0000-00003D020000}"/>
    <cellStyle name="20% - Accent4 14 2" xfId="576" xr:uid="{00000000-0005-0000-0000-00003E020000}"/>
    <cellStyle name="20% - Accent4 15" xfId="577" xr:uid="{00000000-0005-0000-0000-00003F020000}"/>
    <cellStyle name="20% - Accent4 16" xfId="578" xr:uid="{00000000-0005-0000-0000-000040020000}"/>
    <cellStyle name="20% - Accent4 2" xfId="579" xr:uid="{00000000-0005-0000-0000-000041020000}"/>
    <cellStyle name="20% - Accent4 2 2" xfId="580" xr:uid="{00000000-0005-0000-0000-000042020000}"/>
    <cellStyle name="20% - Accent4 2 2 2" xfId="581" xr:uid="{00000000-0005-0000-0000-000043020000}"/>
    <cellStyle name="20% - Accent4 2 2 2 2" xfId="582" xr:uid="{00000000-0005-0000-0000-000044020000}"/>
    <cellStyle name="20% - Accent4 2 2 2 2 2" xfId="583" xr:uid="{00000000-0005-0000-0000-000045020000}"/>
    <cellStyle name="20% - Accent4 2 2 2 2 2 2" xfId="584" xr:uid="{00000000-0005-0000-0000-000046020000}"/>
    <cellStyle name="20% - Accent4 2 2 2 2 3" xfId="585" xr:uid="{00000000-0005-0000-0000-000047020000}"/>
    <cellStyle name="20% - Accent4 2 2 2 2 4" xfId="586" xr:uid="{00000000-0005-0000-0000-000048020000}"/>
    <cellStyle name="20% - Accent4 2 2 2 3" xfId="587" xr:uid="{00000000-0005-0000-0000-000049020000}"/>
    <cellStyle name="20% - Accent4 2 2 2 3 2" xfId="588" xr:uid="{00000000-0005-0000-0000-00004A020000}"/>
    <cellStyle name="20% - Accent4 2 2 2 4" xfId="589" xr:uid="{00000000-0005-0000-0000-00004B020000}"/>
    <cellStyle name="20% - Accent4 2 2 2 5" xfId="590" xr:uid="{00000000-0005-0000-0000-00004C020000}"/>
    <cellStyle name="20% - Accent4 2 2 3" xfId="591" xr:uid="{00000000-0005-0000-0000-00004D020000}"/>
    <cellStyle name="20% - Accent4 2 2 3 2" xfId="592" xr:uid="{00000000-0005-0000-0000-00004E020000}"/>
    <cellStyle name="20% - Accent4 2 2 3 2 2" xfId="593" xr:uid="{00000000-0005-0000-0000-00004F020000}"/>
    <cellStyle name="20% - Accent4 2 2 3 3" xfId="594" xr:uid="{00000000-0005-0000-0000-000050020000}"/>
    <cellStyle name="20% - Accent4 2 2 3 4" xfId="595" xr:uid="{00000000-0005-0000-0000-000051020000}"/>
    <cellStyle name="20% - Accent4 2 2 4" xfId="596" xr:uid="{00000000-0005-0000-0000-000052020000}"/>
    <cellStyle name="20% - Accent4 2 2 4 2" xfId="597" xr:uid="{00000000-0005-0000-0000-000053020000}"/>
    <cellStyle name="20% - Accent4 2 2 5" xfId="598" xr:uid="{00000000-0005-0000-0000-000054020000}"/>
    <cellStyle name="20% - Accent4 2 2 5 2" xfId="599" xr:uid="{00000000-0005-0000-0000-000055020000}"/>
    <cellStyle name="20% - Accent4 2 2 6" xfId="600" xr:uid="{00000000-0005-0000-0000-000056020000}"/>
    <cellStyle name="20% - Accent4 2 2 7" xfId="601" xr:uid="{00000000-0005-0000-0000-000057020000}"/>
    <cellStyle name="20% - Accent4 2 3" xfId="602" xr:uid="{00000000-0005-0000-0000-000058020000}"/>
    <cellStyle name="20% - Accent4 2 3 2" xfId="603" xr:uid="{00000000-0005-0000-0000-000059020000}"/>
    <cellStyle name="20% - Accent4 2 3 2 2" xfId="604" xr:uid="{00000000-0005-0000-0000-00005A020000}"/>
    <cellStyle name="20% - Accent4 2 3 2 2 2" xfId="605" xr:uid="{00000000-0005-0000-0000-00005B020000}"/>
    <cellStyle name="20% - Accent4 2 3 2 3" xfId="606" xr:uid="{00000000-0005-0000-0000-00005C020000}"/>
    <cellStyle name="20% - Accent4 2 3 2 4" xfId="607" xr:uid="{00000000-0005-0000-0000-00005D020000}"/>
    <cellStyle name="20% - Accent4 2 3 3" xfId="608" xr:uid="{00000000-0005-0000-0000-00005E020000}"/>
    <cellStyle name="20% - Accent4 2 3 3 2" xfId="609" xr:uid="{00000000-0005-0000-0000-00005F020000}"/>
    <cellStyle name="20% - Accent4 2 3 4" xfId="610" xr:uid="{00000000-0005-0000-0000-000060020000}"/>
    <cellStyle name="20% - Accent4 2 3 5" xfId="611" xr:uid="{00000000-0005-0000-0000-000061020000}"/>
    <cellStyle name="20% - Accent4 2 4" xfId="612" xr:uid="{00000000-0005-0000-0000-000062020000}"/>
    <cellStyle name="20% - Accent4 2 4 2" xfId="613" xr:uid="{00000000-0005-0000-0000-000063020000}"/>
    <cellStyle name="20% - Accent4 2 4 2 2" xfId="614" xr:uid="{00000000-0005-0000-0000-000064020000}"/>
    <cellStyle name="20% - Accent4 2 4 3" xfId="615" xr:uid="{00000000-0005-0000-0000-000065020000}"/>
    <cellStyle name="20% - Accent4 2 4 4" xfId="616" xr:uid="{00000000-0005-0000-0000-000066020000}"/>
    <cellStyle name="20% - Accent4 2 5" xfId="617" xr:uid="{00000000-0005-0000-0000-000067020000}"/>
    <cellStyle name="20% - Accent4 2 5 2" xfId="618" xr:uid="{00000000-0005-0000-0000-000068020000}"/>
    <cellStyle name="20% - Accent4 2 6" xfId="619" xr:uid="{00000000-0005-0000-0000-000069020000}"/>
    <cellStyle name="20% - Accent4 2 6 2" xfId="620" xr:uid="{00000000-0005-0000-0000-00006A020000}"/>
    <cellStyle name="20% - Accent4 2 7" xfId="621" xr:uid="{00000000-0005-0000-0000-00006B020000}"/>
    <cellStyle name="20% - Accent4 2 8" xfId="622" xr:uid="{00000000-0005-0000-0000-00006C020000}"/>
    <cellStyle name="20% - Accent4 3" xfId="623" xr:uid="{00000000-0005-0000-0000-00006D020000}"/>
    <cellStyle name="20% - Accent4 3 2" xfId="624" xr:uid="{00000000-0005-0000-0000-00006E020000}"/>
    <cellStyle name="20% - Accent4 4" xfId="625" xr:uid="{00000000-0005-0000-0000-00006F020000}"/>
    <cellStyle name="20% - Accent4 4 2" xfId="626" xr:uid="{00000000-0005-0000-0000-000070020000}"/>
    <cellStyle name="20% - Accent4 4 2 2" xfId="627" xr:uid="{00000000-0005-0000-0000-000071020000}"/>
    <cellStyle name="20% - Accent4 4 2 2 2" xfId="628" xr:uid="{00000000-0005-0000-0000-000072020000}"/>
    <cellStyle name="20% - Accent4 4 2 2 2 2" xfId="629" xr:uid="{00000000-0005-0000-0000-000073020000}"/>
    <cellStyle name="20% - Accent4 4 2 2 3" xfId="630" xr:uid="{00000000-0005-0000-0000-000074020000}"/>
    <cellStyle name="20% - Accent4 4 2 2 4" xfId="631" xr:uid="{00000000-0005-0000-0000-000075020000}"/>
    <cellStyle name="20% - Accent4 4 2 3" xfId="632" xr:uid="{00000000-0005-0000-0000-000076020000}"/>
    <cellStyle name="20% - Accent4 4 2 3 2" xfId="633" xr:uid="{00000000-0005-0000-0000-000077020000}"/>
    <cellStyle name="20% - Accent4 4 2 4" xfId="634" xr:uid="{00000000-0005-0000-0000-000078020000}"/>
    <cellStyle name="20% - Accent4 4 2 5" xfId="635" xr:uid="{00000000-0005-0000-0000-000079020000}"/>
    <cellStyle name="20% - Accent4 4 3" xfId="636" xr:uid="{00000000-0005-0000-0000-00007A020000}"/>
    <cellStyle name="20% - Accent4 4 3 2" xfId="637" xr:uid="{00000000-0005-0000-0000-00007B020000}"/>
    <cellStyle name="20% - Accent4 4 3 2 2" xfId="638" xr:uid="{00000000-0005-0000-0000-00007C020000}"/>
    <cellStyle name="20% - Accent4 4 3 3" xfId="639" xr:uid="{00000000-0005-0000-0000-00007D020000}"/>
    <cellStyle name="20% - Accent4 4 3 4" xfId="640" xr:uid="{00000000-0005-0000-0000-00007E020000}"/>
    <cellStyle name="20% - Accent4 4 4" xfId="641" xr:uid="{00000000-0005-0000-0000-00007F020000}"/>
    <cellStyle name="20% - Accent4 4 4 2" xfId="642" xr:uid="{00000000-0005-0000-0000-000080020000}"/>
    <cellStyle name="20% - Accent4 4 5" xfId="643" xr:uid="{00000000-0005-0000-0000-000081020000}"/>
    <cellStyle name="20% - Accent4 4 5 2" xfId="644" xr:uid="{00000000-0005-0000-0000-000082020000}"/>
    <cellStyle name="20% - Accent4 4 6" xfId="645" xr:uid="{00000000-0005-0000-0000-000083020000}"/>
    <cellStyle name="20% - Accent4 4 7" xfId="646" xr:uid="{00000000-0005-0000-0000-000084020000}"/>
    <cellStyle name="20% - Accent4 5" xfId="647" xr:uid="{00000000-0005-0000-0000-000085020000}"/>
    <cellStyle name="20% - Accent4 5 2" xfId="648" xr:uid="{00000000-0005-0000-0000-000086020000}"/>
    <cellStyle name="20% - Accent4 5 2 2" xfId="649" xr:uid="{00000000-0005-0000-0000-000087020000}"/>
    <cellStyle name="20% - Accent4 5 2 2 2" xfId="650" xr:uid="{00000000-0005-0000-0000-000088020000}"/>
    <cellStyle name="20% - Accent4 5 2 2 2 2" xfId="651" xr:uid="{00000000-0005-0000-0000-000089020000}"/>
    <cellStyle name="20% - Accent4 5 2 2 3" xfId="652" xr:uid="{00000000-0005-0000-0000-00008A020000}"/>
    <cellStyle name="20% - Accent4 5 2 2 4" xfId="653" xr:uid="{00000000-0005-0000-0000-00008B020000}"/>
    <cellStyle name="20% - Accent4 5 2 3" xfId="654" xr:uid="{00000000-0005-0000-0000-00008C020000}"/>
    <cellStyle name="20% - Accent4 5 2 3 2" xfId="655" xr:uid="{00000000-0005-0000-0000-00008D020000}"/>
    <cellStyle name="20% - Accent4 5 2 4" xfId="656" xr:uid="{00000000-0005-0000-0000-00008E020000}"/>
    <cellStyle name="20% - Accent4 5 2 5" xfId="657" xr:uid="{00000000-0005-0000-0000-00008F020000}"/>
    <cellStyle name="20% - Accent4 5 3" xfId="658" xr:uid="{00000000-0005-0000-0000-000090020000}"/>
    <cellStyle name="20% - Accent4 5 3 2" xfId="659" xr:uid="{00000000-0005-0000-0000-000091020000}"/>
    <cellStyle name="20% - Accent4 5 3 2 2" xfId="660" xr:uid="{00000000-0005-0000-0000-000092020000}"/>
    <cellStyle name="20% - Accent4 5 3 3" xfId="661" xr:uid="{00000000-0005-0000-0000-000093020000}"/>
    <cellStyle name="20% - Accent4 5 3 4" xfId="662" xr:uid="{00000000-0005-0000-0000-000094020000}"/>
    <cellStyle name="20% - Accent4 5 4" xfId="663" xr:uid="{00000000-0005-0000-0000-000095020000}"/>
    <cellStyle name="20% - Accent4 5 4 2" xfId="664" xr:uid="{00000000-0005-0000-0000-000096020000}"/>
    <cellStyle name="20% - Accent4 5 5" xfId="665" xr:uid="{00000000-0005-0000-0000-000097020000}"/>
    <cellStyle name="20% - Accent4 5 5 2" xfId="666" xr:uid="{00000000-0005-0000-0000-000098020000}"/>
    <cellStyle name="20% - Accent4 5 6" xfId="667" xr:uid="{00000000-0005-0000-0000-000099020000}"/>
    <cellStyle name="20% - Accent4 5 7" xfId="668" xr:uid="{00000000-0005-0000-0000-00009A020000}"/>
    <cellStyle name="20% - Accent4 6" xfId="669" xr:uid="{00000000-0005-0000-0000-00009B020000}"/>
    <cellStyle name="20% - Accent4 7" xfId="670" xr:uid="{00000000-0005-0000-0000-00009C020000}"/>
    <cellStyle name="20% - Accent4 7 2" xfId="671" xr:uid="{00000000-0005-0000-0000-00009D020000}"/>
    <cellStyle name="20% - Accent4 7 2 2" xfId="672" xr:uid="{00000000-0005-0000-0000-00009E020000}"/>
    <cellStyle name="20% - Accent4 7 2 2 2" xfId="673" xr:uid="{00000000-0005-0000-0000-00009F020000}"/>
    <cellStyle name="20% - Accent4 7 2 2 2 2" xfId="674" xr:uid="{00000000-0005-0000-0000-0000A0020000}"/>
    <cellStyle name="20% - Accent4 7 2 2 3" xfId="675" xr:uid="{00000000-0005-0000-0000-0000A1020000}"/>
    <cellStyle name="20% - Accent4 7 2 2 4" xfId="676" xr:uid="{00000000-0005-0000-0000-0000A2020000}"/>
    <cellStyle name="20% - Accent4 7 2 3" xfId="677" xr:uid="{00000000-0005-0000-0000-0000A3020000}"/>
    <cellStyle name="20% - Accent4 7 2 3 2" xfId="678" xr:uid="{00000000-0005-0000-0000-0000A4020000}"/>
    <cellStyle name="20% - Accent4 7 2 4" xfId="679" xr:uid="{00000000-0005-0000-0000-0000A5020000}"/>
    <cellStyle name="20% - Accent4 7 2 5" xfId="680" xr:uid="{00000000-0005-0000-0000-0000A6020000}"/>
    <cellStyle name="20% - Accent4 7 3" xfId="681" xr:uid="{00000000-0005-0000-0000-0000A7020000}"/>
    <cellStyle name="20% - Accent4 7 3 2" xfId="682" xr:uid="{00000000-0005-0000-0000-0000A8020000}"/>
    <cellStyle name="20% - Accent4 7 3 2 2" xfId="683" xr:uid="{00000000-0005-0000-0000-0000A9020000}"/>
    <cellStyle name="20% - Accent4 7 3 3" xfId="684" xr:uid="{00000000-0005-0000-0000-0000AA020000}"/>
    <cellStyle name="20% - Accent4 7 3 4" xfId="685" xr:uid="{00000000-0005-0000-0000-0000AB020000}"/>
    <cellStyle name="20% - Accent4 7 4" xfId="686" xr:uid="{00000000-0005-0000-0000-0000AC020000}"/>
    <cellStyle name="20% - Accent4 7 4 2" xfId="687" xr:uid="{00000000-0005-0000-0000-0000AD020000}"/>
    <cellStyle name="20% - Accent4 7 5" xfId="688" xr:uid="{00000000-0005-0000-0000-0000AE020000}"/>
    <cellStyle name="20% - Accent4 7 6" xfId="689" xr:uid="{00000000-0005-0000-0000-0000AF020000}"/>
    <cellStyle name="20% - Accent4 8" xfId="690" xr:uid="{00000000-0005-0000-0000-0000B0020000}"/>
    <cellStyle name="20% - Accent4 8 2" xfId="691" xr:uid="{00000000-0005-0000-0000-0000B1020000}"/>
    <cellStyle name="20% - Accent4 8 2 2" xfId="692" xr:uid="{00000000-0005-0000-0000-0000B2020000}"/>
    <cellStyle name="20% - Accent4 8 2 2 2" xfId="693" xr:uid="{00000000-0005-0000-0000-0000B3020000}"/>
    <cellStyle name="20% - Accent4 8 2 2 2 2" xfId="694" xr:uid="{00000000-0005-0000-0000-0000B4020000}"/>
    <cellStyle name="20% - Accent4 8 2 2 3" xfId="695" xr:uid="{00000000-0005-0000-0000-0000B5020000}"/>
    <cellStyle name="20% - Accent4 8 2 2 4" xfId="696" xr:uid="{00000000-0005-0000-0000-0000B6020000}"/>
    <cellStyle name="20% - Accent4 8 2 3" xfId="697" xr:uid="{00000000-0005-0000-0000-0000B7020000}"/>
    <cellStyle name="20% - Accent4 8 2 3 2" xfId="698" xr:uid="{00000000-0005-0000-0000-0000B8020000}"/>
    <cellStyle name="20% - Accent4 8 2 4" xfId="699" xr:uid="{00000000-0005-0000-0000-0000B9020000}"/>
    <cellStyle name="20% - Accent4 8 2 5" xfId="700" xr:uid="{00000000-0005-0000-0000-0000BA020000}"/>
    <cellStyle name="20% - Accent4 8 3" xfId="701" xr:uid="{00000000-0005-0000-0000-0000BB020000}"/>
    <cellStyle name="20% - Accent4 8 3 2" xfId="702" xr:uid="{00000000-0005-0000-0000-0000BC020000}"/>
    <cellStyle name="20% - Accent4 8 3 2 2" xfId="703" xr:uid="{00000000-0005-0000-0000-0000BD020000}"/>
    <cellStyle name="20% - Accent4 8 3 3" xfId="704" xr:uid="{00000000-0005-0000-0000-0000BE020000}"/>
    <cellStyle name="20% - Accent4 8 3 4" xfId="705" xr:uid="{00000000-0005-0000-0000-0000BF020000}"/>
    <cellStyle name="20% - Accent4 8 4" xfId="706" xr:uid="{00000000-0005-0000-0000-0000C0020000}"/>
    <cellStyle name="20% - Accent4 8 4 2" xfId="707" xr:uid="{00000000-0005-0000-0000-0000C1020000}"/>
    <cellStyle name="20% - Accent4 8 5" xfId="708" xr:uid="{00000000-0005-0000-0000-0000C2020000}"/>
    <cellStyle name="20% - Accent4 8 6" xfId="709" xr:uid="{00000000-0005-0000-0000-0000C3020000}"/>
    <cellStyle name="20% - Accent4 9" xfId="710" xr:uid="{00000000-0005-0000-0000-0000C4020000}"/>
    <cellStyle name="20% - Accent4 9 2" xfId="711" xr:uid="{00000000-0005-0000-0000-0000C5020000}"/>
    <cellStyle name="20% - Accent4 9 2 2" xfId="712" xr:uid="{00000000-0005-0000-0000-0000C6020000}"/>
    <cellStyle name="20% - Accent4 9 2 2 2" xfId="713" xr:uid="{00000000-0005-0000-0000-0000C7020000}"/>
    <cellStyle name="20% - Accent4 9 2 2 2 2" xfId="714" xr:uid="{00000000-0005-0000-0000-0000C8020000}"/>
    <cellStyle name="20% - Accent4 9 2 2 3" xfId="715" xr:uid="{00000000-0005-0000-0000-0000C9020000}"/>
    <cellStyle name="20% - Accent4 9 2 2 4" xfId="716" xr:uid="{00000000-0005-0000-0000-0000CA020000}"/>
    <cellStyle name="20% - Accent4 9 2 3" xfId="717" xr:uid="{00000000-0005-0000-0000-0000CB020000}"/>
    <cellStyle name="20% - Accent4 9 2 3 2" xfId="718" xr:uid="{00000000-0005-0000-0000-0000CC020000}"/>
    <cellStyle name="20% - Accent4 9 2 4" xfId="719" xr:uid="{00000000-0005-0000-0000-0000CD020000}"/>
    <cellStyle name="20% - Accent4 9 2 5" xfId="720" xr:uid="{00000000-0005-0000-0000-0000CE020000}"/>
    <cellStyle name="20% - Accent4 9 3" xfId="721" xr:uid="{00000000-0005-0000-0000-0000CF020000}"/>
    <cellStyle name="20% - Accent4 9 3 2" xfId="722" xr:uid="{00000000-0005-0000-0000-0000D0020000}"/>
    <cellStyle name="20% - Accent4 9 3 2 2" xfId="723" xr:uid="{00000000-0005-0000-0000-0000D1020000}"/>
    <cellStyle name="20% - Accent4 9 3 3" xfId="724" xr:uid="{00000000-0005-0000-0000-0000D2020000}"/>
    <cellStyle name="20% - Accent4 9 3 4" xfId="725" xr:uid="{00000000-0005-0000-0000-0000D3020000}"/>
    <cellStyle name="20% - Accent4 9 4" xfId="726" xr:uid="{00000000-0005-0000-0000-0000D4020000}"/>
    <cellStyle name="20% - Accent4 9 4 2" xfId="727" xr:uid="{00000000-0005-0000-0000-0000D5020000}"/>
    <cellStyle name="20% - Accent4 9 5" xfId="728" xr:uid="{00000000-0005-0000-0000-0000D6020000}"/>
    <cellStyle name="20% - Accent4 9 6" xfId="729" xr:uid="{00000000-0005-0000-0000-0000D7020000}"/>
    <cellStyle name="20% - Accent5 10" xfId="730" xr:uid="{00000000-0005-0000-0000-0000D8020000}"/>
    <cellStyle name="20% - Accent5 10 2" xfId="731" xr:uid="{00000000-0005-0000-0000-0000D9020000}"/>
    <cellStyle name="20% - Accent5 10 2 2" xfId="732" xr:uid="{00000000-0005-0000-0000-0000DA020000}"/>
    <cellStyle name="20% - Accent5 10 2 2 2" xfId="733" xr:uid="{00000000-0005-0000-0000-0000DB020000}"/>
    <cellStyle name="20% - Accent5 10 2 3" xfId="734" xr:uid="{00000000-0005-0000-0000-0000DC020000}"/>
    <cellStyle name="20% - Accent5 10 2 4" xfId="735" xr:uid="{00000000-0005-0000-0000-0000DD020000}"/>
    <cellStyle name="20% - Accent5 10 3" xfId="736" xr:uid="{00000000-0005-0000-0000-0000DE020000}"/>
    <cellStyle name="20% - Accent5 10 3 2" xfId="737" xr:uid="{00000000-0005-0000-0000-0000DF020000}"/>
    <cellStyle name="20% - Accent5 10 4" xfId="738" xr:uid="{00000000-0005-0000-0000-0000E0020000}"/>
    <cellStyle name="20% - Accent5 10 5" xfId="739" xr:uid="{00000000-0005-0000-0000-0000E1020000}"/>
    <cellStyle name="20% - Accent5 11" xfId="740" xr:uid="{00000000-0005-0000-0000-0000E2020000}"/>
    <cellStyle name="20% - Accent5 11 2" xfId="741" xr:uid="{00000000-0005-0000-0000-0000E3020000}"/>
    <cellStyle name="20% - Accent5 11 2 2" xfId="742" xr:uid="{00000000-0005-0000-0000-0000E4020000}"/>
    <cellStyle name="20% - Accent5 11 2 2 2" xfId="743" xr:uid="{00000000-0005-0000-0000-0000E5020000}"/>
    <cellStyle name="20% - Accent5 11 2 3" xfId="744" xr:uid="{00000000-0005-0000-0000-0000E6020000}"/>
    <cellStyle name="20% - Accent5 11 2 4" xfId="745" xr:uid="{00000000-0005-0000-0000-0000E7020000}"/>
    <cellStyle name="20% - Accent5 11 3" xfId="746" xr:uid="{00000000-0005-0000-0000-0000E8020000}"/>
    <cellStyle name="20% - Accent5 11 3 2" xfId="747" xr:uid="{00000000-0005-0000-0000-0000E9020000}"/>
    <cellStyle name="20% - Accent5 11 4" xfId="748" xr:uid="{00000000-0005-0000-0000-0000EA020000}"/>
    <cellStyle name="20% - Accent5 11 5" xfId="749" xr:uid="{00000000-0005-0000-0000-0000EB020000}"/>
    <cellStyle name="20% - Accent5 12" xfId="750" xr:uid="{00000000-0005-0000-0000-0000EC020000}"/>
    <cellStyle name="20% - Accent5 12 2" xfId="751" xr:uid="{00000000-0005-0000-0000-0000ED020000}"/>
    <cellStyle name="20% - Accent5 12 2 2" xfId="752" xr:uid="{00000000-0005-0000-0000-0000EE020000}"/>
    <cellStyle name="20% - Accent5 12 3" xfId="753" xr:uid="{00000000-0005-0000-0000-0000EF020000}"/>
    <cellStyle name="20% - Accent5 12 4" xfId="754" xr:uid="{00000000-0005-0000-0000-0000F0020000}"/>
    <cellStyle name="20% - Accent5 13" xfId="755" xr:uid="{00000000-0005-0000-0000-0000F1020000}"/>
    <cellStyle name="20% - Accent5 13 2" xfId="756" xr:uid="{00000000-0005-0000-0000-0000F2020000}"/>
    <cellStyle name="20% - Accent5 14" xfId="757" xr:uid="{00000000-0005-0000-0000-0000F3020000}"/>
    <cellStyle name="20% - Accent5 14 2" xfId="758" xr:uid="{00000000-0005-0000-0000-0000F4020000}"/>
    <cellStyle name="20% - Accent5 15" xfId="759" xr:uid="{00000000-0005-0000-0000-0000F5020000}"/>
    <cellStyle name="20% - Accent5 16" xfId="760" xr:uid="{00000000-0005-0000-0000-0000F6020000}"/>
    <cellStyle name="20% - Accent5 2" xfId="761" xr:uid="{00000000-0005-0000-0000-0000F7020000}"/>
    <cellStyle name="20% - Accent5 2 2" xfId="762" xr:uid="{00000000-0005-0000-0000-0000F8020000}"/>
    <cellStyle name="20% - Accent5 2 2 2" xfId="763" xr:uid="{00000000-0005-0000-0000-0000F9020000}"/>
    <cellStyle name="20% - Accent5 2 2 2 2" xfId="764" xr:uid="{00000000-0005-0000-0000-0000FA020000}"/>
    <cellStyle name="20% - Accent5 2 2 2 2 2" xfId="765" xr:uid="{00000000-0005-0000-0000-0000FB020000}"/>
    <cellStyle name="20% - Accent5 2 2 2 2 2 2" xfId="766" xr:uid="{00000000-0005-0000-0000-0000FC020000}"/>
    <cellStyle name="20% - Accent5 2 2 2 2 3" xfId="767" xr:uid="{00000000-0005-0000-0000-0000FD020000}"/>
    <cellStyle name="20% - Accent5 2 2 2 2 4" xfId="768" xr:uid="{00000000-0005-0000-0000-0000FE020000}"/>
    <cellStyle name="20% - Accent5 2 2 2 3" xfId="769" xr:uid="{00000000-0005-0000-0000-0000FF020000}"/>
    <cellStyle name="20% - Accent5 2 2 2 3 2" xfId="770" xr:uid="{00000000-0005-0000-0000-000000030000}"/>
    <cellStyle name="20% - Accent5 2 2 2 4" xfId="771" xr:uid="{00000000-0005-0000-0000-000001030000}"/>
    <cellStyle name="20% - Accent5 2 2 2 5" xfId="772" xr:uid="{00000000-0005-0000-0000-000002030000}"/>
    <cellStyle name="20% - Accent5 2 2 3" xfId="773" xr:uid="{00000000-0005-0000-0000-000003030000}"/>
    <cellStyle name="20% - Accent5 2 2 3 2" xfId="774" xr:uid="{00000000-0005-0000-0000-000004030000}"/>
    <cellStyle name="20% - Accent5 2 2 3 2 2" xfId="775" xr:uid="{00000000-0005-0000-0000-000005030000}"/>
    <cellStyle name="20% - Accent5 2 2 3 3" xfId="776" xr:uid="{00000000-0005-0000-0000-000006030000}"/>
    <cellStyle name="20% - Accent5 2 2 3 4" xfId="777" xr:uid="{00000000-0005-0000-0000-000007030000}"/>
    <cellStyle name="20% - Accent5 2 2 4" xfId="778" xr:uid="{00000000-0005-0000-0000-000008030000}"/>
    <cellStyle name="20% - Accent5 2 2 4 2" xfId="779" xr:uid="{00000000-0005-0000-0000-000009030000}"/>
    <cellStyle name="20% - Accent5 2 2 5" xfId="780" xr:uid="{00000000-0005-0000-0000-00000A030000}"/>
    <cellStyle name="20% - Accent5 2 2 5 2" xfId="781" xr:uid="{00000000-0005-0000-0000-00000B030000}"/>
    <cellStyle name="20% - Accent5 2 2 6" xfId="782" xr:uid="{00000000-0005-0000-0000-00000C030000}"/>
    <cellStyle name="20% - Accent5 2 2 7" xfId="783" xr:uid="{00000000-0005-0000-0000-00000D030000}"/>
    <cellStyle name="20% - Accent5 2 3" xfId="784" xr:uid="{00000000-0005-0000-0000-00000E030000}"/>
    <cellStyle name="20% - Accent5 2 3 2" xfId="785" xr:uid="{00000000-0005-0000-0000-00000F030000}"/>
    <cellStyle name="20% - Accent5 2 3 2 2" xfId="786" xr:uid="{00000000-0005-0000-0000-000010030000}"/>
    <cellStyle name="20% - Accent5 2 3 2 2 2" xfId="787" xr:uid="{00000000-0005-0000-0000-000011030000}"/>
    <cellStyle name="20% - Accent5 2 3 2 3" xfId="788" xr:uid="{00000000-0005-0000-0000-000012030000}"/>
    <cellStyle name="20% - Accent5 2 3 2 4" xfId="789" xr:uid="{00000000-0005-0000-0000-000013030000}"/>
    <cellStyle name="20% - Accent5 2 3 3" xfId="790" xr:uid="{00000000-0005-0000-0000-000014030000}"/>
    <cellStyle name="20% - Accent5 2 3 3 2" xfId="791" xr:uid="{00000000-0005-0000-0000-000015030000}"/>
    <cellStyle name="20% - Accent5 2 3 4" xfId="792" xr:uid="{00000000-0005-0000-0000-000016030000}"/>
    <cellStyle name="20% - Accent5 2 3 5" xfId="793" xr:uid="{00000000-0005-0000-0000-000017030000}"/>
    <cellStyle name="20% - Accent5 2 4" xfId="794" xr:uid="{00000000-0005-0000-0000-000018030000}"/>
    <cellStyle name="20% - Accent5 2 4 2" xfId="795" xr:uid="{00000000-0005-0000-0000-000019030000}"/>
    <cellStyle name="20% - Accent5 2 4 2 2" xfId="796" xr:uid="{00000000-0005-0000-0000-00001A030000}"/>
    <cellStyle name="20% - Accent5 2 4 3" xfId="797" xr:uid="{00000000-0005-0000-0000-00001B030000}"/>
    <cellStyle name="20% - Accent5 2 4 4" xfId="798" xr:uid="{00000000-0005-0000-0000-00001C030000}"/>
    <cellStyle name="20% - Accent5 2 5" xfId="799" xr:uid="{00000000-0005-0000-0000-00001D030000}"/>
    <cellStyle name="20% - Accent5 2 5 2" xfId="800" xr:uid="{00000000-0005-0000-0000-00001E030000}"/>
    <cellStyle name="20% - Accent5 2 6" xfId="801" xr:uid="{00000000-0005-0000-0000-00001F030000}"/>
    <cellStyle name="20% - Accent5 2 6 2" xfId="802" xr:uid="{00000000-0005-0000-0000-000020030000}"/>
    <cellStyle name="20% - Accent5 2 7" xfId="803" xr:uid="{00000000-0005-0000-0000-000021030000}"/>
    <cellStyle name="20% - Accent5 2 8" xfId="804" xr:uid="{00000000-0005-0000-0000-000022030000}"/>
    <cellStyle name="20% - Accent5 3" xfId="805" xr:uid="{00000000-0005-0000-0000-000023030000}"/>
    <cellStyle name="20% - Accent5 3 2" xfId="806" xr:uid="{00000000-0005-0000-0000-000024030000}"/>
    <cellStyle name="20% - Accent5 4" xfId="807" xr:uid="{00000000-0005-0000-0000-000025030000}"/>
    <cellStyle name="20% - Accent5 4 2" xfId="808" xr:uid="{00000000-0005-0000-0000-000026030000}"/>
    <cellStyle name="20% - Accent5 4 2 2" xfId="809" xr:uid="{00000000-0005-0000-0000-000027030000}"/>
    <cellStyle name="20% - Accent5 4 2 2 2" xfId="810" xr:uid="{00000000-0005-0000-0000-000028030000}"/>
    <cellStyle name="20% - Accent5 4 2 2 2 2" xfId="811" xr:uid="{00000000-0005-0000-0000-000029030000}"/>
    <cellStyle name="20% - Accent5 4 2 2 3" xfId="812" xr:uid="{00000000-0005-0000-0000-00002A030000}"/>
    <cellStyle name="20% - Accent5 4 2 2 4" xfId="813" xr:uid="{00000000-0005-0000-0000-00002B030000}"/>
    <cellStyle name="20% - Accent5 4 2 3" xfId="814" xr:uid="{00000000-0005-0000-0000-00002C030000}"/>
    <cellStyle name="20% - Accent5 4 2 3 2" xfId="815" xr:uid="{00000000-0005-0000-0000-00002D030000}"/>
    <cellStyle name="20% - Accent5 4 2 4" xfId="816" xr:uid="{00000000-0005-0000-0000-00002E030000}"/>
    <cellStyle name="20% - Accent5 4 2 5" xfId="817" xr:uid="{00000000-0005-0000-0000-00002F030000}"/>
    <cellStyle name="20% - Accent5 4 3" xfId="818" xr:uid="{00000000-0005-0000-0000-000030030000}"/>
    <cellStyle name="20% - Accent5 4 3 2" xfId="819" xr:uid="{00000000-0005-0000-0000-000031030000}"/>
    <cellStyle name="20% - Accent5 4 3 2 2" xfId="820" xr:uid="{00000000-0005-0000-0000-000032030000}"/>
    <cellStyle name="20% - Accent5 4 3 3" xfId="821" xr:uid="{00000000-0005-0000-0000-000033030000}"/>
    <cellStyle name="20% - Accent5 4 3 4" xfId="822" xr:uid="{00000000-0005-0000-0000-000034030000}"/>
    <cellStyle name="20% - Accent5 4 4" xfId="823" xr:uid="{00000000-0005-0000-0000-000035030000}"/>
    <cellStyle name="20% - Accent5 4 4 2" xfId="824" xr:uid="{00000000-0005-0000-0000-000036030000}"/>
    <cellStyle name="20% - Accent5 4 5" xfId="825" xr:uid="{00000000-0005-0000-0000-000037030000}"/>
    <cellStyle name="20% - Accent5 4 5 2" xfId="826" xr:uid="{00000000-0005-0000-0000-000038030000}"/>
    <cellStyle name="20% - Accent5 4 6" xfId="827" xr:uid="{00000000-0005-0000-0000-000039030000}"/>
    <cellStyle name="20% - Accent5 4 7" xfId="828" xr:uid="{00000000-0005-0000-0000-00003A030000}"/>
    <cellStyle name="20% - Accent5 5" xfId="829" xr:uid="{00000000-0005-0000-0000-00003B030000}"/>
    <cellStyle name="20% - Accent5 5 2" xfId="830" xr:uid="{00000000-0005-0000-0000-00003C030000}"/>
    <cellStyle name="20% - Accent5 5 2 2" xfId="831" xr:uid="{00000000-0005-0000-0000-00003D030000}"/>
    <cellStyle name="20% - Accent5 5 2 2 2" xfId="832" xr:uid="{00000000-0005-0000-0000-00003E030000}"/>
    <cellStyle name="20% - Accent5 5 2 2 2 2" xfId="833" xr:uid="{00000000-0005-0000-0000-00003F030000}"/>
    <cellStyle name="20% - Accent5 5 2 2 3" xfId="834" xr:uid="{00000000-0005-0000-0000-000040030000}"/>
    <cellStyle name="20% - Accent5 5 2 2 4" xfId="835" xr:uid="{00000000-0005-0000-0000-000041030000}"/>
    <cellStyle name="20% - Accent5 5 2 3" xfId="836" xr:uid="{00000000-0005-0000-0000-000042030000}"/>
    <cellStyle name="20% - Accent5 5 2 3 2" xfId="837" xr:uid="{00000000-0005-0000-0000-000043030000}"/>
    <cellStyle name="20% - Accent5 5 2 4" xfId="838" xr:uid="{00000000-0005-0000-0000-000044030000}"/>
    <cellStyle name="20% - Accent5 5 2 5" xfId="839" xr:uid="{00000000-0005-0000-0000-000045030000}"/>
    <cellStyle name="20% - Accent5 5 3" xfId="840" xr:uid="{00000000-0005-0000-0000-000046030000}"/>
    <cellStyle name="20% - Accent5 5 3 2" xfId="841" xr:uid="{00000000-0005-0000-0000-000047030000}"/>
    <cellStyle name="20% - Accent5 5 3 2 2" xfId="842" xr:uid="{00000000-0005-0000-0000-000048030000}"/>
    <cellStyle name="20% - Accent5 5 3 3" xfId="843" xr:uid="{00000000-0005-0000-0000-000049030000}"/>
    <cellStyle name="20% - Accent5 5 3 4" xfId="844" xr:uid="{00000000-0005-0000-0000-00004A030000}"/>
    <cellStyle name="20% - Accent5 5 4" xfId="845" xr:uid="{00000000-0005-0000-0000-00004B030000}"/>
    <cellStyle name="20% - Accent5 5 4 2" xfId="846" xr:uid="{00000000-0005-0000-0000-00004C030000}"/>
    <cellStyle name="20% - Accent5 5 5" xfId="847" xr:uid="{00000000-0005-0000-0000-00004D030000}"/>
    <cellStyle name="20% - Accent5 5 5 2" xfId="848" xr:uid="{00000000-0005-0000-0000-00004E030000}"/>
    <cellStyle name="20% - Accent5 5 6" xfId="849" xr:uid="{00000000-0005-0000-0000-00004F030000}"/>
    <cellStyle name="20% - Accent5 5 7" xfId="850" xr:uid="{00000000-0005-0000-0000-000050030000}"/>
    <cellStyle name="20% - Accent5 6" xfId="851" xr:uid="{00000000-0005-0000-0000-000051030000}"/>
    <cellStyle name="20% - Accent5 7" xfId="852" xr:uid="{00000000-0005-0000-0000-000052030000}"/>
    <cellStyle name="20% - Accent5 7 2" xfId="853" xr:uid="{00000000-0005-0000-0000-000053030000}"/>
    <cellStyle name="20% - Accent5 7 2 2" xfId="854" xr:uid="{00000000-0005-0000-0000-000054030000}"/>
    <cellStyle name="20% - Accent5 7 2 2 2" xfId="855" xr:uid="{00000000-0005-0000-0000-000055030000}"/>
    <cellStyle name="20% - Accent5 7 2 2 2 2" xfId="856" xr:uid="{00000000-0005-0000-0000-000056030000}"/>
    <cellStyle name="20% - Accent5 7 2 2 3" xfId="857" xr:uid="{00000000-0005-0000-0000-000057030000}"/>
    <cellStyle name="20% - Accent5 7 2 2 4" xfId="858" xr:uid="{00000000-0005-0000-0000-000058030000}"/>
    <cellStyle name="20% - Accent5 7 2 3" xfId="859" xr:uid="{00000000-0005-0000-0000-000059030000}"/>
    <cellStyle name="20% - Accent5 7 2 3 2" xfId="860" xr:uid="{00000000-0005-0000-0000-00005A030000}"/>
    <cellStyle name="20% - Accent5 7 2 4" xfId="861" xr:uid="{00000000-0005-0000-0000-00005B030000}"/>
    <cellStyle name="20% - Accent5 7 2 5" xfId="862" xr:uid="{00000000-0005-0000-0000-00005C030000}"/>
    <cellStyle name="20% - Accent5 7 3" xfId="863" xr:uid="{00000000-0005-0000-0000-00005D030000}"/>
    <cellStyle name="20% - Accent5 7 3 2" xfId="864" xr:uid="{00000000-0005-0000-0000-00005E030000}"/>
    <cellStyle name="20% - Accent5 7 3 2 2" xfId="865" xr:uid="{00000000-0005-0000-0000-00005F030000}"/>
    <cellStyle name="20% - Accent5 7 3 3" xfId="866" xr:uid="{00000000-0005-0000-0000-000060030000}"/>
    <cellStyle name="20% - Accent5 7 3 4" xfId="867" xr:uid="{00000000-0005-0000-0000-000061030000}"/>
    <cellStyle name="20% - Accent5 7 4" xfId="868" xr:uid="{00000000-0005-0000-0000-000062030000}"/>
    <cellStyle name="20% - Accent5 7 4 2" xfId="869" xr:uid="{00000000-0005-0000-0000-000063030000}"/>
    <cellStyle name="20% - Accent5 7 5" xfId="870" xr:uid="{00000000-0005-0000-0000-000064030000}"/>
    <cellStyle name="20% - Accent5 7 6" xfId="871" xr:uid="{00000000-0005-0000-0000-000065030000}"/>
    <cellStyle name="20% - Accent5 8" xfId="872" xr:uid="{00000000-0005-0000-0000-000066030000}"/>
    <cellStyle name="20% - Accent5 8 2" xfId="873" xr:uid="{00000000-0005-0000-0000-000067030000}"/>
    <cellStyle name="20% - Accent5 8 2 2" xfId="874" xr:uid="{00000000-0005-0000-0000-000068030000}"/>
    <cellStyle name="20% - Accent5 8 2 2 2" xfId="875" xr:uid="{00000000-0005-0000-0000-000069030000}"/>
    <cellStyle name="20% - Accent5 8 2 2 2 2" xfId="876" xr:uid="{00000000-0005-0000-0000-00006A030000}"/>
    <cellStyle name="20% - Accent5 8 2 2 3" xfId="877" xr:uid="{00000000-0005-0000-0000-00006B030000}"/>
    <cellStyle name="20% - Accent5 8 2 2 4" xfId="878" xr:uid="{00000000-0005-0000-0000-00006C030000}"/>
    <cellStyle name="20% - Accent5 8 2 3" xfId="879" xr:uid="{00000000-0005-0000-0000-00006D030000}"/>
    <cellStyle name="20% - Accent5 8 2 3 2" xfId="880" xr:uid="{00000000-0005-0000-0000-00006E030000}"/>
    <cellStyle name="20% - Accent5 8 2 4" xfId="881" xr:uid="{00000000-0005-0000-0000-00006F030000}"/>
    <cellStyle name="20% - Accent5 8 2 5" xfId="882" xr:uid="{00000000-0005-0000-0000-000070030000}"/>
    <cellStyle name="20% - Accent5 8 3" xfId="883" xr:uid="{00000000-0005-0000-0000-000071030000}"/>
    <cellStyle name="20% - Accent5 8 3 2" xfId="884" xr:uid="{00000000-0005-0000-0000-000072030000}"/>
    <cellStyle name="20% - Accent5 8 3 2 2" xfId="885" xr:uid="{00000000-0005-0000-0000-000073030000}"/>
    <cellStyle name="20% - Accent5 8 3 3" xfId="886" xr:uid="{00000000-0005-0000-0000-000074030000}"/>
    <cellStyle name="20% - Accent5 8 3 4" xfId="887" xr:uid="{00000000-0005-0000-0000-000075030000}"/>
    <cellStyle name="20% - Accent5 8 4" xfId="888" xr:uid="{00000000-0005-0000-0000-000076030000}"/>
    <cellStyle name="20% - Accent5 8 4 2" xfId="889" xr:uid="{00000000-0005-0000-0000-000077030000}"/>
    <cellStyle name="20% - Accent5 8 5" xfId="890" xr:uid="{00000000-0005-0000-0000-000078030000}"/>
    <cellStyle name="20% - Accent5 8 6" xfId="891" xr:uid="{00000000-0005-0000-0000-000079030000}"/>
    <cellStyle name="20% - Accent5 9" xfId="892" xr:uid="{00000000-0005-0000-0000-00007A030000}"/>
    <cellStyle name="20% - Accent5 9 2" xfId="893" xr:uid="{00000000-0005-0000-0000-00007B030000}"/>
    <cellStyle name="20% - Accent5 9 2 2" xfId="894" xr:uid="{00000000-0005-0000-0000-00007C030000}"/>
    <cellStyle name="20% - Accent5 9 2 2 2" xfId="895" xr:uid="{00000000-0005-0000-0000-00007D030000}"/>
    <cellStyle name="20% - Accent5 9 2 2 2 2" xfId="896" xr:uid="{00000000-0005-0000-0000-00007E030000}"/>
    <cellStyle name="20% - Accent5 9 2 2 3" xfId="897" xr:uid="{00000000-0005-0000-0000-00007F030000}"/>
    <cellStyle name="20% - Accent5 9 2 2 4" xfId="898" xr:uid="{00000000-0005-0000-0000-000080030000}"/>
    <cellStyle name="20% - Accent5 9 2 3" xfId="899" xr:uid="{00000000-0005-0000-0000-000081030000}"/>
    <cellStyle name="20% - Accent5 9 2 3 2" xfId="900" xr:uid="{00000000-0005-0000-0000-000082030000}"/>
    <cellStyle name="20% - Accent5 9 2 4" xfId="901" xr:uid="{00000000-0005-0000-0000-000083030000}"/>
    <cellStyle name="20% - Accent5 9 2 5" xfId="902" xr:uid="{00000000-0005-0000-0000-000084030000}"/>
    <cellStyle name="20% - Accent5 9 3" xfId="903" xr:uid="{00000000-0005-0000-0000-000085030000}"/>
    <cellStyle name="20% - Accent5 9 3 2" xfId="904" xr:uid="{00000000-0005-0000-0000-000086030000}"/>
    <cellStyle name="20% - Accent5 9 3 2 2" xfId="905" xr:uid="{00000000-0005-0000-0000-000087030000}"/>
    <cellStyle name="20% - Accent5 9 3 3" xfId="906" xr:uid="{00000000-0005-0000-0000-000088030000}"/>
    <cellStyle name="20% - Accent5 9 3 4" xfId="907" xr:uid="{00000000-0005-0000-0000-000089030000}"/>
    <cellStyle name="20% - Accent5 9 4" xfId="908" xr:uid="{00000000-0005-0000-0000-00008A030000}"/>
    <cellStyle name="20% - Accent5 9 4 2" xfId="909" xr:uid="{00000000-0005-0000-0000-00008B030000}"/>
    <cellStyle name="20% - Accent5 9 5" xfId="910" xr:uid="{00000000-0005-0000-0000-00008C030000}"/>
    <cellStyle name="20% - Accent5 9 6" xfId="911" xr:uid="{00000000-0005-0000-0000-00008D030000}"/>
    <cellStyle name="20% - Accent6 10" xfId="912" xr:uid="{00000000-0005-0000-0000-00008E030000}"/>
    <cellStyle name="20% - Accent6 10 2" xfId="913" xr:uid="{00000000-0005-0000-0000-00008F030000}"/>
    <cellStyle name="20% - Accent6 10 2 2" xfId="914" xr:uid="{00000000-0005-0000-0000-000090030000}"/>
    <cellStyle name="20% - Accent6 10 2 2 2" xfId="915" xr:uid="{00000000-0005-0000-0000-000091030000}"/>
    <cellStyle name="20% - Accent6 10 2 3" xfId="916" xr:uid="{00000000-0005-0000-0000-000092030000}"/>
    <cellStyle name="20% - Accent6 10 2 4" xfId="917" xr:uid="{00000000-0005-0000-0000-000093030000}"/>
    <cellStyle name="20% - Accent6 10 3" xfId="918" xr:uid="{00000000-0005-0000-0000-000094030000}"/>
    <cellStyle name="20% - Accent6 10 3 2" xfId="919" xr:uid="{00000000-0005-0000-0000-000095030000}"/>
    <cellStyle name="20% - Accent6 10 4" xfId="920" xr:uid="{00000000-0005-0000-0000-000096030000}"/>
    <cellStyle name="20% - Accent6 10 5" xfId="921" xr:uid="{00000000-0005-0000-0000-000097030000}"/>
    <cellStyle name="20% - Accent6 11" xfId="922" xr:uid="{00000000-0005-0000-0000-000098030000}"/>
    <cellStyle name="20% - Accent6 11 2" xfId="923" xr:uid="{00000000-0005-0000-0000-000099030000}"/>
    <cellStyle name="20% - Accent6 11 2 2" xfId="924" xr:uid="{00000000-0005-0000-0000-00009A030000}"/>
    <cellStyle name="20% - Accent6 11 2 2 2" xfId="925" xr:uid="{00000000-0005-0000-0000-00009B030000}"/>
    <cellStyle name="20% - Accent6 11 2 3" xfId="926" xr:uid="{00000000-0005-0000-0000-00009C030000}"/>
    <cellStyle name="20% - Accent6 11 2 4" xfId="927" xr:uid="{00000000-0005-0000-0000-00009D030000}"/>
    <cellStyle name="20% - Accent6 11 3" xfId="928" xr:uid="{00000000-0005-0000-0000-00009E030000}"/>
    <cellStyle name="20% - Accent6 11 3 2" xfId="929" xr:uid="{00000000-0005-0000-0000-00009F030000}"/>
    <cellStyle name="20% - Accent6 11 4" xfId="930" xr:uid="{00000000-0005-0000-0000-0000A0030000}"/>
    <cellStyle name="20% - Accent6 11 5" xfId="931" xr:uid="{00000000-0005-0000-0000-0000A1030000}"/>
    <cellStyle name="20% - Accent6 12" xfId="932" xr:uid="{00000000-0005-0000-0000-0000A2030000}"/>
    <cellStyle name="20% - Accent6 12 2" xfId="933" xr:uid="{00000000-0005-0000-0000-0000A3030000}"/>
    <cellStyle name="20% - Accent6 12 2 2" xfId="934" xr:uid="{00000000-0005-0000-0000-0000A4030000}"/>
    <cellStyle name="20% - Accent6 12 3" xfId="935" xr:uid="{00000000-0005-0000-0000-0000A5030000}"/>
    <cellStyle name="20% - Accent6 12 4" xfId="936" xr:uid="{00000000-0005-0000-0000-0000A6030000}"/>
    <cellStyle name="20% - Accent6 13" xfId="937" xr:uid="{00000000-0005-0000-0000-0000A7030000}"/>
    <cellStyle name="20% - Accent6 13 2" xfId="938" xr:uid="{00000000-0005-0000-0000-0000A8030000}"/>
    <cellStyle name="20% - Accent6 14" xfId="939" xr:uid="{00000000-0005-0000-0000-0000A9030000}"/>
    <cellStyle name="20% - Accent6 14 2" xfId="940" xr:uid="{00000000-0005-0000-0000-0000AA030000}"/>
    <cellStyle name="20% - Accent6 15" xfId="941" xr:uid="{00000000-0005-0000-0000-0000AB030000}"/>
    <cellStyle name="20% - Accent6 16" xfId="942" xr:uid="{00000000-0005-0000-0000-0000AC030000}"/>
    <cellStyle name="20% - Accent6 2" xfId="943" xr:uid="{00000000-0005-0000-0000-0000AD030000}"/>
    <cellStyle name="20% - Accent6 2 2" xfId="944" xr:uid="{00000000-0005-0000-0000-0000AE030000}"/>
    <cellStyle name="20% - Accent6 2 2 2" xfId="945" xr:uid="{00000000-0005-0000-0000-0000AF030000}"/>
    <cellStyle name="20% - Accent6 2 2 2 2" xfId="946" xr:uid="{00000000-0005-0000-0000-0000B0030000}"/>
    <cellStyle name="20% - Accent6 2 2 2 2 2" xfId="947" xr:uid="{00000000-0005-0000-0000-0000B1030000}"/>
    <cellStyle name="20% - Accent6 2 2 2 2 2 2" xfId="948" xr:uid="{00000000-0005-0000-0000-0000B2030000}"/>
    <cellStyle name="20% - Accent6 2 2 2 2 3" xfId="949" xr:uid="{00000000-0005-0000-0000-0000B3030000}"/>
    <cellStyle name="20% - Accent6 2 2 2 2 4" xfId="950" xr:uid="{00000000-0005-0000-0000-0000B4030000}"/>
    <cellStyle name="20% - Accent6 2 2 2 3" xfId="951" xr:uid="{00000000-0005-0000-0000-0000B5030000}"/>
    <cellStyle name="20% - Accent6 2 2 2 3 2" xfId="952" xr:uid="{00000000-0005-0000-0000-0000B6030000}"/>
    <cellStyle name="20% - Accent6 2 2 2 4" xfId="953" xr:uid="{00000000-0005-0000-0000-0000B7030000}"/>
    <cellStyle name="20% - Accent6 2 2 2 5" xfId="954" xr:uid="{00000000-0005-0000-0000-0000B8030000}"/>
    <cellStyle name="20% - Accent6 2 2 3" xfId="955" xr:uid="{00000000-0005-0000-0000-0000B9030000}"/>
    <cellStyle name="20% - Accent6 2 2 3 2" xfId="956" xr:uid="{00000000-0005-0000-0000-0000BA030000}"/>
    <cellStyle name="20% - Accent6 2 2 3 2 2" xfId="957" xr:uid="{00000000-0005-0000-0000-0000BB030000}"/>
    <cellStyle name="20% - Accent6 2 2 3 3" xfId="958" xr:uid="{00000000-0005-0000-0000-0000BC030000}"/>
    <cellStyle name="20% - Accent6 2 2 3 4" xfId="959" xr:uid="{00000000-0005-0000-0000-0000BD030000}"/>
    <cellStyle name="20% - Accent6 2 2 4" xfId="960" xr:uid="{00000000-0005-0000-0000-0000BE030000}"/>
    <cellStyle name="20% - Accent6 2 2 4 2" xfId="961" xr:uid="{00000000-0005-0000-0000-0000BF030000}"/>
    <cellStyle name="20% - Accent6 2 2 5" xfId="962" xr:uid="{00000000-0005-0000-0000-0000C0030000}"/>
    <cellStyle name="20% - Accent6 2 2 5 2" xfId="963" xr:uid="{00000000-0005-0000-0000-0000C1030000}"/>
    <cellStyle name="20% - Accent6 2 2 6" xfId="964" xr:uid="{00000000-0005-0000-0000-0000C2030000}"/>
    <cellStyle name="20% - Accent6 2 2 7" xfId="965" xr:uid="{00000000-0005-0000-0000-0000C3030000}"/>
    <cellStyle name="20% - Accent6 2 3" xfId="966" xr:uid="{00000000-0005-0000-0000-0000C4030000}"/>
    <cellStyle name="20% - Accent6 2 3 2" xfId="967" xr:uid="{00000000-0005-0000-0000-0000C5030000}"/>
    <cellStyle name="20% - Accent6 2 3 2 2" xfId="968" xr:uid="{00000000-0005-0000-0000-0000C6030000}"/>
    <cellStyle name="20% - Accent6 2 3 2 2 2" xfId="969" xr:uid="{00000000-0005-0000-0000-0000C7030000}"/>
    <cellStyle name="20% - Accent6 2 3 2 3" xfId="970" xr:uid="{00000000-0005-0000-0000-0000C8030000}"/>
    <cellStyle name="20% - Accent6 2 3 2 4" xfId="971" xr:uid="{00000000-0005-0000-0000-0000C9030000}"/>
    <cellStyle name="20% - Accent6 2 3 3" xfId="972" xr:uid="{00000000-0005-0000-0000-0000CA030000}"/>
    <cellStyle name="20% - Accent6 2 3 3 2" xfId="973" xr:uid="{00000000-0005-0000-0000-0000CB030000}"/>
    <cellStyle name="20% - Accent6 2 3 4" xfId="974" xr:uid="{00000000-0005-0000-0000-0000CC030000}"/>
    <cellStyle name="20% - Accent6 2 3 5" xfId="975" xr:uid="{00000000-0005-0000-0000-0000CD030000}"/>
    <cellStyle name="20% - Accent6 2 4" xfId="976" xr:uid="{00000000-0005-0000-0000-0000CE030000}"/>
    <cellStyle name="20% - Accent6 2 4 2" xfId="977" xr:uid="{00000000-0005-0000-0000-0000CF030000}"/>
    <cellStyle name="20% - Accent6 2 4 2 2" xfId="978" xr:uid="{00000000-0005-0000-0000-0000D0030000}"/>
    <cellStyle name="20% - Accent6 2 4 3" xfId="979" xr:uid="{00000000-0005-0000-0000-0000D1030000}"/>
    <cellStyle name="20% - Accent6 2 4 4" xfId="980" xr:uid="{00000000-0005-0000-0000-0000D2030000}"/>
    <cellStyle name="20% - Accent6 2 5" xfId="981" xr:uid="{00000000-0005-0000-0000-0000D3030000}"/>
    <cellStyle name="20% - Accent6 2 5 2" xfId="982" xr:uid="{00000000-0005-0000-0000-0000D4030000}"/>
    <cellStyle name="20% - Accent6 2 6" xfId="983" xr:uid="{00000000-0005-0000-0000-0000D5030000}"/>
    <cellStyle name="20% - Accent6 2 6 2" xfId="984" xr:uid="{00000000-0005-0000-0000-0000D6030000}"/>
    <cellStyle name="20% - Accent6 2 7" xfId="985" xr:uid="{00000000-0005-0000-0000-0000D7030000}"/>
    <cellStyle name="20% - Accent6 2 8" xfId="986" xr:uid="{00000000-0005-0000-0000-0000D8030000}"/>
    <cellStyle name="20% - Accent6 3" xfId="987" xr:uid="{00000000-0005-0000-0000-0000D9030000}"/>
    <cellStyle name="20% - Accent6 3 2" xfId="988" xr:uid="{00000000-0005-0000-0000-0000DA030000}"/>
    <cellStyle name="20% - Accent6 4" xfId="989" xr:uid="{00000000-0005-0000-0000-0000DB030000}"/>
    <cellStyle name="20% - Accent6 4 2" xfId="990" xr:uid="{00000000-0005-0000-0000-0000DC030000}"/>
    <cellStyle name="20% - Accent6 4 2 2" xfId="991" xr:uid="{00000000-0005-0000-0000-0000DD030000}"/>
    <cellStyle name="20% - Accent6 4 2 2 2" xfId="992" xr:uid="{00000000-0005-0000-0000-0000DE030000}"/>
    <cellStyle name="20% - Accent6 4 2 2 2 2" xfId="993" xr:uid="{00000000-0005-0000-0000-0000DF030000}"/>
    <cellStyle name="20% - Accent6 4 2 2 3" xfId="994" xr:uid="{00000000-0005-0000-0000-0000E0030000}"/>
    <cellStyle name="20% - Accent6 4 2 2 4" xfId="995" xr:uid="{00000000-0005-0000-0000-0000E1030000}"/>
    <cellStyle name="20% - Accent6 4 2 3" xfId="996" xr:uid="{00000000-0005-0000-0000-0000E2030000}"/>
    <cellStyle name="20% - Accent6 4 2 3 2" xfId="997" xr:uid="{00000000-0005-0000-0000-0000E3030000}"/>
    <cellStyle name="20% - Accent6 4 2 4" xfId="998" xr:uid="{00000000-0005-0000-0000-0000E4030000}"/>
    <cellStyle name="20% - Accent6 4 2 5" xfId="999" xr:uid="{00000000-0005-0000-0000-0000E5030000}"/>
    <cellStyle name="20% - Accent6 4 3" xfId="1000" xr:uid="{00000000-0005-0000-0000-0000E6030000}"/>
    <cellStyle name="20% - Accent6 4 3 2" xfId="1001" xr:uid="{00000000-0005-0000-0000-0000E7030000}"/>
    <cellStyle name="20% - Accent6 4 3 2 2" xfId="1002" xr:uid="{00000000-0005-0000-0000-0000E8030000}"/>
    <cellStyle name="20% - Accent6 4 3 3" xfId="1003" xr:uid="{00000000-0005-0000-0000-0000E9030000}"/>
    <cellStyle name="20% - Accent6 4 3 4" xfId="1004" xr:uid="{00000000-0005-0000-0000-0000EA030000}"/>
    <cellStyle name="20% - Accent6 4 4" xfId="1005" xr:uid="{00000000-0005-0000-0000-0000EB030000}"/>
    <cellStyle name="20% - Accent6 4 4 2" xfId="1006" xr:uid="{00000000-0005-0000-0000-0000EC030000}"/>
    <cellStyle name="20% - Accent6 4 5" xfId="1007" xr:uid="{00000000-0005-0000-0000-0000ED030000}"/>
    <cellStyle name="20% - Accent6 4 5 2" xfId="1008" xr:uid="{00000000-0005-0000-0000-0000EE030000}"/>
    <cellStyle name="20% - Accent6 4 6" xfId="1009" xr:uid="{00000000-0005-0000-0000-0000EF030000}"/>
    <cellStyle name="20% - Accent6 4 7" xfId="1010" xr:uid="{00000000-0005-0000-0000-0000F0030000}"/>
    <cellStyle name="20% - Accent6 5" xfId="1011" xr:uid="{00000000-0005-0000-0000-0000F1030000}"/>
    <cellStyle name="20% - Accent6 5 2" xfId="1012" xr:uid="{00000000-0005-0000-0000-0000F2030000}"/>
    <cellStyle name="20% - Accent6 5 2 2" xfId="1013" xr:uid="{00000000-0005-0000-0000-0000F3030000}"/>
    <cellStyle name="20% - Accent6 5 2 2 2" xfId="1014" xr:uid="{00000000-0005-0000-0000-0000F4030000}"/>
    <cellStyle name="20% - Accent6 5 2 2 2 2" xfId="1015" xr:uid="{00000000-0005-0000-0000-0000F5030000}"/>
    <cellStyle name="20% - Accent6 5 2 2 3" xfId="1016" xr:uid="{00000000-0005-0000-0000-0000F6030000}"/>
    <cellStyle name="20% - Accent6 5 2 2 4" xfId="1017" xr:uid="{00000000-0005-0000-0000-0000F7030000}"/>
    <cellStyle name="20% - Accent6 5 2 3" xfId="1018" xr:uid="{00000000-0005-0000-0000-0000F8030000}"/>
    <cellStyle name="20% - Accent6 5 2 3 2" xfId="1019" xr:uid="{00000000-0005-0000-0000-0000F9030000}"/>
    <cellStyle name="20% - Accent6 5 2 4" xfId="1020" xr:uid="{00000000-0005-0000-0000-0000FA030000}"/>
    <cellStyle name="20% - Accent6 5 2 5" xfId="1021" xr:uid="{00000000-0005-0000-0000-0000FB030000}"/>
    <cellStyle name="20% - Accent6 5 3" xfId="1022" xr:uid="{00000000-0005-0000-0000-0000FC030000}"/>
    <cellStyle name="20% - Accent6 5 3 2" xfId="1023" xr:uid="{00000000-0005-0000-0000-0000FD030000}"/>
    <cellStyle name="20% - Accent6 5 3 2 2" xfId="1024" xr:uid="{00000000-0005-0000-0000-0000FE030000}"/>
    <cellStyle name="20% - Accent6 5 3 3" xfId="1025" xr:uid="{00000000-0005-0000-0000-0000FF030000}"/>
    <cellStyle name="20% - Accent6 5 3 4" xfId="1026" xr:uid="{00000000-0005-0000-0000-000000040000}"/>
    <cellStyle name="20% - Accent6 5 4" xfId="1027" xr:uid="{00000000-0005-0000-0000-000001040000}"/>
    <cellStyle name="20% - Accent6 5 4 2" xfId="1028" xr:uid="{00000000-0005-0000-0000-000002040000}"/>
    <cellStyle name="20% - Accent6 5 5" xfId="1029" xr:uid="{00000000-0005-0000-0000-000003040000}"/>
    <cellStyle name="20% - Accent6 5 5 2" xfId="1030" xr:uid="{00000000-0005-0000-0000-000004040000}"/>
    <cellStyle name="20% - Accent6 5 6" xfId="1031" xr:uid="{00000000-0005-0000-0000-000005040000}"/>
    <cellStyle name="20% - Accent6 5 7" xfId="1032" xr:uid="{00000000-0005-0000-0000-000006040000}"/>
    <cellStyle name="20% - Accent6 6" xfId="1033" xr:uid="{00000000-0005-0000-0000-000007040000}"/>
    <cellStyle name="20% - Accent6 7" xfId="1034" xr:uid="{00000000-0005-0000-0000-000008040000}"/>
    <cellStyle name="20% - Accent6 7 2" xfId="1035" xr:uid="{00000000-0005-0000-0000-000009040000}"/>
    <cellStyle name="20% - Accent6 7 2 2" xfId="1036" xr:uid="{00000000-0005-0000-0000-00000A040000}"/>
    <cellStyle name="20% - Accent6 7 2 2 2" xfId="1037" xr:uid="{00000000-0005-0000-0000-00000B040000}"/>
    <cellStyle name="20% - Accent6 7 2 2 2 2" xfId="1038" xr:uid="{00000000-0005-0000-0000-00000C040000}"/>
    <cellStyle name="20% - Accent6 7 2 2 3" xfId="1039" xr:uid="{00000000-0005-0000-0000-00000D040000}"/>
    <cellStyle name="20% - Accent6 7 2 2 4" xfId="1040" xr:uid="{00000000-0005-0000-0000-00000E040000}"/>
    <cellStyle name="20% - Accent6 7 2 3" xfId="1041" xr:uid="{00000000-0005-0000-0000-00000F040000}"/>
    <cellStyle name="20% - Accent6 7 2 3 2" xfId="1042" xr:uid="{00000000-0005-0000-0000-000010040000}"/>
    <cellStyle name="20% - Accent6 7 2 4" xfId="1043" xr:uid="{00000000-0005-0000-0000-000011040000}"/>
    <cellStyle name="20% - Accent6 7 2 5" xfId="1044" xr:uid="{00000000-0005-0000-0000-000012040000}"/>
    <cellStyle name="20% - Accent6 7 3" xfId="1045" xr:uid="{00000000-0005-0000-0000-000013040000}"/>
    <cellStyle name="20% - Accent6 7 3 2" xfId="1046" xr:uid="{00000000-0005-0000-0000-000014040000}"/>
    <cellStyle name="20% - Accent6 7 3 2 2" xfId="1047" xr:uid="{00000000-0005-0000-0000-000015040000}"/>
    <cellStyle name="20% - Accent6 7 3 3" xfId="1048" xr:uid="{00000000-0005-0000-0000-000016040000}"/>
    <cellStyle name="20% - Accent6 7 3 4" xfId="1049" xr:uid="{00000000-0005-0000-0000-000017040000}"/>
    <cellStyle name="20% - Accent6 7 4" xfId="1050" xr:uid="{00000000-0005-0000-0000-000018040000}"/>
    <cellStyle name="20% - Accent6 7 4 2" xfId="1051" xr:uid="{00000000-0005-0000-0000-000019040000}"/>
    <cellStyle name="20% - Accent6 7 5" xfId="1052" xr:uid="{00000000-0005-0000-0000-00001A040000}"/>
    <cellStyle name="20% - Accent6 7 6" xfId="1053" xr:uid="{00000000-0005-0000-0000-00001B040000}"/>
    <cellStyle name="20% - Accent6 8" xfId="1054" xr:uid="{00000000-0005-0000-0000-00001C040000}"/>
    <cellStyle name="20% - Accent6 8 2" xfId="1055" xr:uid="{00000000-0005-0000-0000-00001D040000}"/>
    <cellStyle name="20% - Accent6 8 2 2" xfId="1056" xr:uid="{00000000-0005-0000-0000-00001E040000}"/>
    <cellStyle name="20% - Accent6 8 2 2 2" xfId="1057" xr:uid="{00000000-0005-0000-0000-00001F040000}"/>
    <cellStyle name="20% - Accent6 8 2 2 2 2" xfId="1058" xr:uid="{00000000-0005-0000-0000-000020040000}"/>
    <cellStyle name="20% - Accent6 8 2 2 3" xfId="1059" xr:uid="{00000000-0005-0000-0000-000021040000}"/>
    <cellStyle name="20% - Accent6 8 2 2 4" xfId="1060" xr:uid="{00000000-0005-0000-0000-000022040000}"/>
    <cellStyle name="20% - Accent6 8 2 3" xfId="1061" xr:uid="{00000000-0005-0000-0000-000023040000}"/>
    <cellStyle name="20% - Accent6 8 2 3 2" xfId="1062" xr:uid="{00000000-0005-0000-0000-000024040000}"/>
    <cellStyle name="20% - Accent6 8 2 4" xfId="1063" xr:uid="{00000000-0005-0000-0000-000025040000}"/>
    <cellStyle name="20% - Accent6 8 2 5" xfId="1064" xr:uid="{00000000-0005-0000-0000-000026040000}"/>
    <cellStyle name="20% - Accent6 8 3" xfId="1065" xr:uid="{00000000-0005-0000-0000-000027040000}"/>
    <cellStyle name="20% - Accent6 8 3 2" xfId="1066" xr:uid="{00000000-0005-0000-0000-000028040000}"/>
    <cellStyle name="20% - Accent6 8 3 2 2" xfId="1067" xr:uid="{00000000-0005-0000-0000-000029040000}"/>
    <cellStyle name="20% - Accent6 8 3 3" xfId="1068" xr:uid="{00000000-0005-0000-0000-00002A040000}"/>
    <cellStyle name="20% - Accent6 8 3 4" xfId="1069" xr:uid="{00000000-0005-0000-0000-00002B040000}"/>
    <cellStyle name="20% - Accent6 8 4" xfId="1070" xr:uid="{00000000-0005-0000-0000-00002C040000}"/>
    <cellStyle name="20% - Accent6 8 4 2" xfId="1071" xr:uid="{00000000-0005-0000-0000-00002D040000}"/>
    <cellStyle name="20% - Accent6 8 5" xfId="1072" xr:uid="{00000000-0005-0000-0000-00002E040000}"/>
    <cellStyle name="20% - Accent6 8 6" xfId="1073" xr:uid="{00000000-0005-0000-0000-00002F040000}"/>
    <cellStyle name="20% - Accent6 9" xfId="1074" xr:uid="{00000000-0005-0000-0000-000030040000}"/>
    <cellStyle name="20% - Accent6 9 2" xfId="1075" xr:uid="{00000000-0005-0000-0000-000031040000}"/>
    <cellStyle name="20% - Accent6 9 2 2" xfId="1076" xr:uid="{00000000-0005-0000-0000-000032040000}"/>
    <cellStyle name="20% - Accent6 9 2 2 2" xfId="1077" xr:uid="{00000000-0005-0000-0000-000033040000}"/>
    <cellStyle name="20% - Accent6 9 2 2 2 2" xfId="1078" xr:uid="{00000000-0005-0000-0000-000034040000}"/>
    <cellStyle name="20% - Accent6 9 2 2 3" xfId="1079" xr:uid="{00000000-0005-0000-0000-000035040000}"/>
    <cellStyle name="20% - Accent6 9 2 2 4" xfId="1080" xr:uid="{00000000-0005-0000-0000-000036040000}"/>
    <cellStyle name="20% - Accent6 9 2 3" xfId="1081" xr:uid="{00000000-0005-0000-0000-000037040000}"/>
    <cellStyle name="20% - Accent6 9 2 3 2" xfId="1082" xr:uid="{00000000-0005-0000-0000-000038040000}"/>
    <cellStyle name="20% - Accent6 9 2 4" xfId="1083" xr:uid="{00000000-0005-0000-0000-000039040000}"/>
    <cellStyle name="20% - Accent6 9 2 5" xfId="1084" xr:uid="{00000000-0005-0000-0000-00003A040000}"/>
    <cellStyle name="20% - Accent6 9 3" xfId="1085" xr:uid="{00000000-0005-0000-0000-00003B040000}"/>
    <cellStyle name="20% - Accent6 9 3 2" xfId="1086" xr:uid="{00000000-0005-0000-0000-00003C040000}"/>
    <cellStyle name="20% - Accent6 9 3 2 2" xfId="1087" xr:uid="{00000000-0005-0000-0000-00003D040000}"/>
    <cellStyle name="20% - Accent6 9 3 3" xfId="1088" xr:uid="{00000000-0005-0000-0000-00003E040000}"/>
    <cellStyle name="20% - Accent6 9 3 4" xfId="1089" xr:uid="{00000000-0005-0000-0000-00003F040000}"/>
    <cellStyle name="20% - Accent6 9 4" xfId="1090" xr:uid="{00000000-0005-0000-0000-000040040000}"/>
    <cellStyle name="20% - Accent6 9 4 2" xfId="1091" xr:uid="{00000000-0005-0000-0000-000041040000}"/>
    <cellStyle name="20% - Accent6 9 5" xfId="1092" xr:uid="{00000000-0005-0000-0000-000042040000}"/>
    <cellStyle name="20% - Accent6 9 6" xfId="1093" xr:uid="{00000000-0005-0000-0000-000043040000}"/>
    <cellStyle name="40% - Accent1 10" xfId="1094" xr:uid="{00000000-0005-0000-0000-000044040000}"/>
    <cellStyle name="40% - Accent1 10 2" xfId="1095" xr:uid="{00000000-0005-0000-0000-000045040000}"/>
    <cellStyle name="40% - Accent1 10 2 2" xfId="1096" xr:uid="{00000000-0005-0000-0000-000046040000}"/>
    <cellStyle name="40% - Accent1 10 2 2 2" xfId="1097" xr:uid="{00000000-0005-0000-0000-000047040000}"/>
    <cellStyle name="40% - Accent1 10 2 3" xfId="1098" xr:uid="{00000000-0005-0000-0000-000048040000}"/>
    <cellStyle name="40% - Accent1 10 2 4" xfId="1099" xr:uid="{00000000-0005-0000-0000-000049040000}"/>
    <cellStyle name="40% - Accent1 10 3" xfId="1100" xr:uid="{00000000-0005-0000-0000-00004A040000}"/>
    <cellStyle name="40% - Accent1 10 3 2" xfId="1101" xr:uid="{00000000-0005-0000-0000-00004B040000}"/>
    <cellStyle name="40% - Accent1 10 4" xfId="1102" xr:uid="{00000000-0005-0000-0000-00004C040000}"/>
    <cellStyle name="40% - Accent1 10 5" xfId="1103" xr:uid="{00000000-0005-0000-0000-00004D040000}"/>
    <cellStyle name="40% - Accent1 11" xfId="1104" xr:uid="{00000000-0005-0000-0000-00004E040000}"/>
    <cellStyle name="40% - Accent1 11 2" xfId="1105" xr:uid="{00000000-0005-0000-0000-00004F040000}"/>
    <cellStyle name="40% - Accent1 11 2 2" xfId="1106" xr:uid="{00000000-0005-0000-0000-000050040000}"/>
    <cellStyle name="40% - Accent1 11 2 2 2" xfId="1107" xr:uid="{00000000-0005-0000-0000-000051040000}"/>
    <cellStyle name="40% - Accent1 11 2 3" xfId="1108" xr:uid="{00000000-0005-0000-0000-000052040000}"/>
    <cellStyle name="40% - Accent1 11 2 4" xfId="1109" xr:uid="{00000000-0005-0000-0000-000053040000}"/>
    <cellStyle name="40% - Accent1 11 3" xfId="1110" xr:uid="{00000000-0005-0000-0000-000054040000}"/>
    <cellStyle name="40% - Accent1 11 3 2" xfId="1111" xr:uid="{00000000-0005-0000-0000-000055040000}"/>
    <cellStyle name="40% - Accent1 11 4" xfId="1112" xr:uid="{00000000-0005-0000-0000-000056040000}"/>
    <cellStyle name="40% - Accent1 11 5" xfId="1113" xr:uid="{00000000-0005-0000-0000-000057040000}"/>
    <cellStyle name="40% - Accent1 12" xfId="1114" xr:uid="{00000000-0005-0000-0000-000058040000}"/>
    <cellStyle name="40% - Accent1 12 2" xfId="1115" xr:uid="{00000000-0005-0000-0000-000059040000}"/>
    <cellStyle name="40% - Accent1 12 2 2" xfId="1116" xr:uid="{00000000-0005-0000-0000-00005A040000}"/>
    <cellStyle name="40% - Accent1 12 3" xfId="1117" xr:uid="{00000000-0005-0000-0000-00005B040000}"/>
    <cellStyle name="40% - Accent1 12 4" xfId="1118" xr:uid="{00000000-0005-0000-0000-00005C040000}"/>
    <cellStyle name="40% - Accent1 13" xfId="1119" xr:uid="{00000000-0005-0000-0000-00005D040000}"/>
    <cellStyle name="40% - Accent1 13 2" xfId="1120" xr:uid="{00000000-0005-0000-0000-00005E040000}"/>
    <cellStyle name="40% - Accent1 14" xfId="1121" xr:uid="{00000000-0005-0000-0000-00005F040000}"/>
    <cellStyle name="40% - Accent1 14 2" xfId="1122" xr:uid="{00000000-0005-0000-0000-000060040000}"/>
    <cellStyle name="40% - Accent1 15" xfId="1123" xr:uid="{00000000-0005-0000-0000-000061040000}"/>
    <cellStyle name="40% - Accent1 16" xfId="1124" xr:uid="{00000000-0005-0000-0000-000062040000}"/>
    <cellStyle name="40% - Accent1 2" xfId="1125" xr:uid="{00000000-0005-0000-0000-000063040000}"/>
    <cellStyle name="40% - Accent1 2 2" xfId="1126" xr:uid="{00000000-0005-0000-0000-000064040000}"/>
    <cellStyle name="40% - Accent1 2 2 2" xfId="1127" xr:uid="{00000000-0005-0000-0000-000065040000}"/>
    <cellStyle name="40% - Accent1 2 2 2 2" xfId="1128" xr:uid="{00000000-0005-0000-0000-000066040000}"/>
    <cellStyle name="40% - Accent1 2 2 2 2 2" xfId="1129" xr:uid="{00000000-0005-0000-0000-000067040000}"/>
    <cellStyle name="40% - Accent1 2 2 2 2 2 2" xfId="1130" xr:uid="{00000000-0005-0000-0000-000068040000}"/>
    <cellStyle name="40% - Accent1 2 2 2 2 3" xfId="1131" xr:uid="{00000000-0005-0000-0000-000069040000}"/>
    <cellStyle name="40% - Accent1 2 2 2 2 4" xfId="1132" xr:uid="{00000000-0005-0000-0000-00006A040000}"/>
    <cellStyle name="40% - Accent1 2 2 2 3" xfId="1133" xr:uid="{00000000-0005-0000-0000-00006B040000}"/>
    <cellStyle name="40% - Accent1 2 2 2 3 2" xfId="1134" xr:uid="{00000000-0005-0000-0000-00006C040000}"/>
    <cellStyle name="40% - Accent1 2 2 2 4" xfId="1135" xr:uid="{00000000-0005-0000-0000-00006D040000}"/>
    <cellStyle name="40% - Accent1 2 2 2 5" xfId="1136" xr:uid="{00000000-0005-0000-0000-00006E040000}"/>
    <cellStyle name="40% - Accent1 2 2 3" xfId="1137" xr:uid="{00000000-0005-0000-0000-00006F040000}"/>
    <cellStyle name="40% - Accent1 2 2 3 2" xfId="1138" xr:uid="{00000000-0005-0000-0000-000070040000}"/>
    <cellStyle name="40% - Accent1 2 2 3 2 2" xfId="1139" xr:uid="{00000000-0005-0000-0000-000071040000}"/>
    <cellStyle name="40% - Accent1 2 2 3 3" xfId="1140" xr:uid="{00000000-0005-0000-0000-000072040000}"/>
    <cellStyle name="40% - Accent1 2 2 3 4" xfId="1141" xr:uid="{00000000-0005-0000-0000-000073040000}"/>
    <cellStyle name="40% - Accent1 2 2 4" xfId="1142" xr:uid="{00000000-0005-0000-0000-000074040000}"/>
    <cellStyle name="40% - Accent1 2 2 4 2" xfId="1143" xr:uid="{00000000-0005-0000-0000-000075040000}"/>
    <cellStyle name="40% - Accent1 2 2 5" xfId="1144" xr:uid="{00000000-0005-0000-0000-000076040000}"/>
    <cellStyle name="40% - Accent1 2 2 5 2" xfId="1145" xr:uid="{00000000-0005-0000-0000-000077040000}"/>
    <cellStyle name="40% - Accent1 2 2 6" xfId="1146" xr:uid="{00000000-0005-0000-0000-000078040000}"/>
    <cellStyle name="40% - Accent1 2 2 7" xfId="1147" xr:uid="{00000000-0005-0000-0000-000079040000}"/>
    <cellStyle name="40% - Accent1 2 3" xfId="1148" xr:uid="{00000000-0005-0000-0000-00007A040000}"/>
    <cellStyle name="40% - Accent1 2 3 2" xfId="1149" xr:uid="{00000000-0005-0000-0000-00007B040000}"/>
    <cellStyle name="40% - Accent1 2 3 2 2" xfId="1150" xr:uid="{00000000-0005-0000-0000-00007C040000}"/>
    <cellStyle name="40% - Accent1 2 3 2 2 2" xfId="1151" xr:uid="{00000000-0005-0000-0000-00007D040000}"/>
    <cellStyle name="40% - Accent1 2 3 2 3" xfId="1152" xr:uid="{00000000-0005-0000-0000-00007E040000}"/>
    <cellStyle name="40% - Accent1 2 3 2 4" xfId="1153" xr:uid="{00000000-0005-0000-0000-00007F040000}"/>
    <cellStyle name="40% - Accent1 2 3 3" xfId="1154" xr:uid="{00000000-0005-0000-0000-000080040000}"/>
    <cellStyle name="40% - Accent1 2 3 3 2" xfId="1155" xr:uid="{00000000-0005-0000-0000-000081040000}"/>
    <cellStyle name="40% - Accent1 2 3 4" xfId="1156" xr:uid="{00000000-0005-0000-0000-000082040000}"/>
    <cellStyle name="40% - Accent1 2 3 5" xfId="1157" xr:uid="{00000000-0005-0000-0000-000083040000}"/>
    <cellStyle name="40% - Accent1 2 4" xfId="1158" xr:uid="{00000000-0005-0000-0000-000084040000}"/>
    <cellStyle name="40% - Accent1 2 4 2" xfId="1159" xr:uid="{00000000-0005-0000-0000-000085040000}"/>
    <cellStyle name="40% - Accent1 2 4 2 2" xfId="1160" xr:uid="{00000000-0005-0000-0000-000086040000}"/>
    <cellStyle name="40% - Accent1 2 4 3" xfId="1161" xr:uid="{00000000-0005-0000-0000-000087040000}"/>
    <cellStyle name="40% - Accent1 2 4 4" xfId="1162" xr:uid="{00000000-0005-0000-0000-000088040000}"/>
    <cellStyle name="40% - Accent1 2 5" xfId="1163" xr:uid="{00000000-0005-0000-0000-000089040000}"/>
    <cellStyle name="40% - Accent1 2 5 2" xfId="1164" xr:uid="{00000000-0005-0000-0000-00008A040000}"/>
    <cellStyle name="40% - Accent1 2 6" xfId="1165" xr:uid="{00000000-0005-0000-0000-00008B040000}"/>
    <cellStyle name="40% - Accent1 2 6 2" xfId="1166" xr:uid="{00000000-0005-0000-0000-00008C040000}"/>
    <cellStyle name="40% - Accent1 2 7" xfId="1167" xr:uid="{00000000-0005-0000-0000-00008D040000}"/>
    <cellStyle name="40% - Accent1 2 8" xfId="1168" xr:uid="{00000000-0005-0000-0000-00008E040000}"/>
    <cellStyle name="40% - Accent1 3" xfId="1169" xr:uid="{00000000-0005-0000-0000-00008F040000}"/>
    <cellStyle name="40% - Accent1 3 2" xfId="1170" xr:uid="{00000000-0005-0000-0000-000090040000}"/>
    <cellStyle name="40% - Accent1 4" xfId="1171" xr:uid="{00000000-0005-0000-0000-000091040000}"/>
    <cellStyle name="40% - Accent1 4 2" xfId="1172" xr:uid="{00000000-0005-0000-0000-000092040000}"/>
    <cellStyle name="40% - Accent1 4 2 2" xfId="1173" xr:uid="{00000000-0005-0000-0000-000093040000}"/>
    <cellStyle name="40% - Accent1 4 2 2 2" xfId="1174" xr:uid="{00000000-0005-0000-0000-000094040000}"/>
    <cellStyle name="40% - Accent1 4 2 2 2 2" xfId="1175" xr:uid="{00000000-0005-0000-0000-000095040000}"/>
    <cellStyle name="40% - Accent1 4 2 2 3" xfId="1176" xr:uid="{00000000-0005-0000-0000-000096040000}"/>
    <cellStyle name="40% - Accent1 4 2 2 4" xfId="1177" xr:uid="{00000000-0005-0000-0000-000097040000}"/>
    <cellStyle name="40% - Accent1 4 2 3" xfId="1178" xr:uid="{00000000-0005-0000-0000-000098040000}"/>
    <cellStyle name="40% - Accent1 4 2 3 2" xfId="1179" xr:uid="{00000000-0005-0000-0000-000099040000}"/>
    <cellStyle name="40% - Accent1 4 2 4" xfId="1180" xr:uid="{00000000-0005-0000-0000-00009A040000}"/>
    <cellStyle name="40% - Accent1 4 2 5" xfId="1181" xr:uid="{00000000-0005-0000-0000-00009B040000}"/>
    <cellStyle name="40% - Accent1 4 3" xfId="1182" xr:uid="{00000000-0005-0000-0000-00009C040000}"/>
    <cellStyle name="40% - Accent1 4 3 2" xfId="1183" xr:uid="{00000000-0005-0000-0000-00009D040000}"/>
    <cellStyle name="40% - Accent1 4 3 2 2" xfId="1184" xr:uid="{00000000-0005-0000-0000-00009E040000}"/>
    <cellStyle name="40% - Accent1 4 3 3" xfId="1185" xr:uid="{00000000-0005-0000-0000-00009F040000}"/>
    <cellStyle name="40% - Accent1 4 3 4" xfId="1186" xr:uid="{00000000-0005-0000-0000-0000A0040000}"/>
    <cellStyle name="40% - Accent1 4 4" xfId="1187" xr:uid="{00000000-0005-0000-0000-0000A1040000}"/>
    <cellStyle name="40% - Accent1 4 4 2" xfId="1188" xr:uid="{00000000-0005-0000-0000-0000A2040000}"/>
    <cellStyle name="40% - Accent1 4 5" xfId="1189" xr:uid="{00000000-0005-0000-0000-0000A3040000}"/>
    <cellStyle name="40% - Accent1 4 5 2" xfId="1190" xr:uid="{00000000-0005-0000-0000-0000A4040000}"/>
    <cellStyle name="40% - Accent1 4 6" xfId="1191" xr:uid="{00000000-0005-0000-0000-0000A5040000}"/>
    <cellStyle name="40% - Accent1 4 7" xfId="1192" xr:uid="{00000000-0005-0000-0000-0000A6040000}"/>
    <cellStyle name="40% - Accent1 5" xfId="1193" xr:uid="{00000000-0005-0000-0000-0000A7040000}"/>
    <cellStyle name="40% - Accent1 5 2" xfId="1194" xr:uid="{00000000-0005-0000-0000-0000A8040000}"/>
    <cellStyle name="40% - Accent1 5 2 2" xfId="1195" xr:uid="{00000000-0005-0000-0000-0000A9040000}"/>
    <cellStyle name="40% - Accent1 5 2 2 2" xfId="1196" xr:uid="{00000000-0005-0000-0000-0000AA040000}"/>
    <cellStyle name="40% - Accent1 5 2 2 2 2" xfId="1197" xr:uid="{00000000-0005-0000-0000-0000AB040000}"/>
    <cellStyle name="40% - Accent1 5 2 2 3" xfId="1198" xr:uid="{00000000-0005-0000-0000-0000AC040000}"/>
    <cellStyle name="40% - Accent1 5 2 2 4" xfId="1199" xr:uid="{00000000-0005-0000-0000-0000AD040000}"/>
    <cellStyle name="40% - Accent1 5 2 3" xfId="1200" xr:uid="{00000000-0005-0000-0000-0000AE040000}"/>
    <cellStyle name="40% - Accent1 5 2 3 2" xfId="1201" xr:uid="{00000000-0005-0000-0000-0000AF040000}"/>
    <cellStyle name="40% - Accent1 5 2 4" xfId="1202" xr:uid="{00000000-0005-0000-0000-0000B0040000}"/>
    <cellStyle name="40% - Accent1 5 2 5" xfId="1203" xr:uid="{00000000-0005-0000-0000-0000B1040000}"/>
    <cellStyle name="40% - Accent1 5 3" xfId="1204" xr:uid="{00000000-0005-0000-0000-0000B2040000}"/>
    <cellStyle name="40% - Accent1 5 3 2" xfId="1205" xr:uid="{00000000-0005-0000-0000-0000B3040000}"/>
    <cellStyle name="40% - Accent1 5 3 2 2" xfId="1206" xr:uid="{00000000-0005-0000-0000-0000B4040000}"/>
    <cellStyle name="40% - Accent1 5 3 3" xfId="1207" xr:uid="{00000000-0005-0000-0000-0000B5040000}"/>
    <cellStyle name="40% - Accent1 5 3 4" xfId="1208" xr:uid="{00000000-0005-0000-0000-0000B6040000}"/>
    <cellStyle name="40% - Accent1 5 4" xfId="1209" xr:uid="{00000000-0005-0000-0000-0000B7040000}"/>
    <cellStyle name="40% - Accent1 5 4 2" xfId="1210" xr:uid="{00000000-0005-0000-0000-0000B8040000}"/>
    <cellStyle name="40% - Accent1 5 5" xfId="1211" xr:uid="{00000000-0005-0000-0000-0000B9040000}"/>
    <cellStyle name="40% - Accent1 5 5 2" xfId="1212" xr:uid="{00000000-0005-0000-0000-0000BA040000}"/>
    <cellStyle name="40% - Accent1 5 6" xfId="1213" xr:uid="{00000000-0005-0000-0000-0000BB040000}"/>
    <cellStyle name="40% - Accent1 5 7" xfId="1214" xr:uid="{00000000-0005-0000-0000-0000BC040000}"/>
    <cellStyle name="40% - Accent1 6" xfId="1215" xr:uid="{00000000-0005-0000-0000-0000BD040000}"/>
    <cellStyle name="40% - Accent1 7" xfId="1216" xr:uid="{00000000-0005-0000-0000-0000BE040000}"/>
    <cellStyle name="40% - Accent1 7 2" xfId="1217" xr:uid="{00000000-0005-0000-0000-0000BF040000}"/>
    <cellStyle name="40% - Accent1 7 2 2" xfId="1218" xr:uid="{00000000-0005-0000-0000-0000C0040000}"/>
    <cellStyle name="40% - Accent1 7 2 2 2" xfId="1219" xr:uid="{00000000-0005-0000-0000-0000C1040000}"/>
    <cellStyle name="40% - Accent1 7 2 2 2 2" xfId="1220" xr:uid="{00000000-0005-0000-0000-0000C2040000}"/>
    <cellStyle name="40% - Accent1 7 2 2 3" xfId="1221" xr:uid="{00000000-0005-0000-0000-0000C3040000}"/>
    <cellStyle name="40% - Accent1 7 2 2 4" xfId="1222" xr:uid="{00000000-0005-0000-0000-0000C4040000}"/>
    <cellStyle name="40% - Accent1 7 2 3" xfId="1223" xr:uid="{00000000-0005-0000-0000-0000C5040000}"/>
    <cellStyle name="40% - Accent1 7 2 3 2" xfId="1224" xr:uid="{00000000-0005-0000-0000-0000C6040000}"/>
    <cellStyle name="40% - Accent1 7 2 4" xfId="1225" xr:uid="{00000000-0005-0000-0000-0000C7040000}"/>
    <cellStyle name="40% - Accent1 7 2 5" xfId="1226" xr:uid="{00000000-0005-0000-0000-0000C8040000}"/>
    <cellStyle name="40% - Accent1 7 3" xfId="1227" xr:uid="{00000000-0005-0000-0000-0000C9040000}"/>
    <cellStyle name="40% - Accent1 7 3 2" xfId="1228" xr:uid="{00000000-0005-0000-0000-0000CA040000}"/>
    <cellStyle name="40% - Accent1 7 3 2 2" xfId="1229" xr:uid="{00000000-0005-0000-0000-0000CB040000}"/>
    <cellStyle name="40% - Accent1 7 3 3" xfId="1230" xr:uid="{00000000-0005-0000-0000-0000CC040000}"/>
    <cellStyle name="40% - Accent1 7 3 4" xfId="1231" xr:uid="{00000000-0005-0000-0000-0000CD040000}"/>
    <cellStyle name="40% - Accent1 7 4" xfId="1232" xr:uid="{00000000-0005-0000-0000-0000CE040000}"/>
    <cellStyle name="40% - Accent1 7 4 2" xfId="1233" xr:uid="{00000000-0005-0000-0000-0000CF040000}"/>
    <cellStyle name="40% - Accent1 7 5" xfId="1234" xr:uid="{00000000-0005-0000-0000-0000D0040000}"/>
    <cellStyle name="40% - Accent1 7 6" xfId="1235" xr:uid="{00000000-0005-0000-0000-0000D1040000}"/>
    <cellStyle name="40% - Accent1 8" xfId="1236" xr:uid="{00000000-0005-0000-0000-0000D2040000}"/>
    <cellStyle name="40% - Accent1 8 2" xfId="1237" xr:uid="{00000000-0005-0000-0000-0000D3040000}"/>
    <cellStyle name="40% - Accent1 8 2 2" xfId="1238" xr:uid="{00000000-0005-0000-0000-0000D4040000}"/>
    <cellStyle name="40% - Accent1 8 2 2 2" xfId="1239" xr:uid="{00000000-0005-0000-0000-0000D5040000}"/>
    <cellStyle name="40% - Accent1 8 2 2 2 2" xfId="1240" xr:uid="{00000000-0005-0000-0000-0000D6040000}"/>
    <cellStyle name="40% - Accent1 8 2 2 3" xfId="1241" xr:uid="{00000000-0005-0000-0000-0000D7040000}"/>
    <cellStyle name="40% - Accent1 8 2 2 4" xfId="1242" xr:uid="{00000000-0005-0000-0000-0000D8040000}"/>
    <cellStyle name="40% - Accent1 8 2 3" xfId="1243" xr:uid="{00000000-0005-0000-0000-0000D9040000}"/>
    <cellStyle name="40% - Accent1 8 2 3 2" xfId="1244" xr:uid="{00000000-0005-0000-0000-0000DA040000}"/>
    <cellStyle name="40% - Accent1 8 2 4" xfId="1245" xr:uid="{00000000-0005-0000-0000-0000DB040000}"/>
    <cellStyle name="40% - Accent1 8 2 5" xfId="1246" xr:uid="{00000000-0005-0000-0000-0000DC040000}"/>
    <cellStyle name="40% - Accent1 8 3" xfId="1247" xr:uid="{00000000-0005-0000-0000-0000DD040000}"/>
    <cellStyle name="40% - Accent1 8 3 2" xfId="1248" xr:uid="{00000000-0005-0000-0000-0000DE040000}"/>
    <cellStyle name="40% - Accent1 8 3 2 2" xfId="1249" xr:uid="{00000000-0005-0000-0000-0000DF040000}"/>
    <cellStyle name="40% - Accent1 8 3 3" xfId="1250" xr:uid="{00000000-0005-0000-0000-0000E0040000}"/>
    <cellStyle name="40% - Accent1 8 3 4" xfId="1251" xr:uid="{00000000-0005-0000-0000-0000E1040000}"/>
    <cellStyle name="40% - Accent1 8 4" xfId="1252" xr:uid="{00000000-0005-0000-0000-0000E2040000}"/>
    <cellStyle name="40% - Accent1 8 4 2" xfId="1253" xr:uid="{00000000-0005-0000-0000-0000E3040000}"/>
    <cellStyle name="40% - Accent1 8 5" xfId="1254" xr:uid="{00000000-0005-0000-0000-0000E4040000}"/>
    <cellStyle name="40% - Accent1 8 6" xfId="1255" xr:uid="{00000000-0005-0000-0000-0000E5040000}"/>
    <cellStyle name="40% - Accent1 9" xfId="1256" xr:uid="{00000000-0005-0000-0000-0000E6040000}"/>
    <cellStyle name="40% - Accent1 9 2" xfId="1257" xr:uid="{00000000-0005-0000-0000-0000E7040000}"/>
    <cellStyle name="40% - Accent1 9 2 2" xfId="1258" xr:uid="{00000000-0005-0000-0000-0000E8040000}"/>
    <cellStyle name="40% - Accent1 9 2 2 2" xfId="1259" xr:uid="{00000000-0005-0000-0000-0000E9040000}"/>
    <cellStyle name="40% - Accent1 9 2 2 2 2" xfId="1260" xr:uid="{00000000-0005-0000-0000-0000EA040000}"/>
    <cellStyle name="40% - Accent1 9 2 2 3" xfId="1261" xr:uid="{00000000-0005-0000-0000-0000EB040000}"/>
    <cellStyle name="40% - Accent1 9 2 2 4" xfId="1262" xr:uid="{00000000-0005-0000-0000-0000EC040000}"/>
    <cellStyle name="40% - Accent1 9 2 3" xfId="1263" xr:uid="{00000000-0005-0000-0000-0000ED040000}"/>
    <cellStyle name="40% - Accent1 9 2 3 2" xfId="1264" xr:uid="{00000000-0005-0000-0000-0000EE040000}"/>
    <cellStyle name="40% - Accent1 9 2 4" xfId="1265" xr:uid="{00000000-0005-0000-0000-0000EF040000}"/>
    <cellStyle name="40% - Accent1 9 2 5" xfId="1266" xr:uid="{00000000-0005-0000-0000-0000F0040000}"/>
    <cellStyle name="40% - Accent1 9 3" xfId="1267" xr:uid="{00000000-0005-0000-0000-0000F1040000}"/>
    <cellStyle name="40% - Accent1 9 3 2" xfId="1268" xr:uid="{00000000-0005-0000-0000-0000F2040000}"/>
    <cellStyle name="40% - Accent1 9 3 2 2" xfId="1269" xr:uid="{00000000-0005-0000-0000-0000F3040000}"/>
    <cellStyle name="40% - Accent1 9 3 3" xfId="1270" xr:uid="{00000000-0005-0000-0000-0000F4040000}"/>
    <cellStyle name="40% - Accent1 9 3 4" xfId="1271" xr:uid="{00000000-0005-0000-0000-0000F5040000}"/>
    <cellStyle name="40% - Accent1 9 4" xfId="1272" xr:uid="{00000000-0005-0000-0000-0000F6040000}"/>
    <cellStyle name="40% - Accent1 9 4 2" xfId="1273" xr:uid="{00000000-0005-0000-0000-0000F7040000}"/>
    <cellStyle name="40% - Accent1 9 5" xfId="1274" xr:uid="{00000000-0005-0000-0000-0000F8040000}"/>
    <cellStyle name="40% - Accent1 9 6" xfId="1275" xr:uid="{00000000-0005-0000-0000-0000F9040000}"/>
    <cellStyle name="40% - Accent2 10" xfId="1276" xr:uid="{00000000-0005-0000-0000-0000FA040000}"/>
    <cellStyle name="40% - Accent2 10 2" xfId="1277" xr:uid="{00000000-0005-0000-0000-0000FB040000}"/>
    <cellStyle name="40% - Accent2 10 2 2" xfId="1278" xr:uid="{00000000-0005-0000-0000-0000FC040000}"/>
    <cellStyle name="40% - Accent2 10 2 2 2" xfId="1279" xr:uid="{00000000-0005-0000-0000-0000FD040000}"/>
    <cellStyle name="40% - Accent2 10 2 3" xfId="1280" xr:uid="{00000000-0005-0000-0000-0000FE040000}"/>
    <cellStyle name="40% - Accent2 10 2 4" xfId="1281" xr:uid="{00000000-0005-0000-0000-0000FF040000}"/>
    <cellStyle name="40% - Accent2 10 3" xfId="1282" xr:uid="{00000000-0005-0000-0000-000000050000}"/>
    <cellStyle name="40% - Accent2 10 3 2" xfId="1283" xr:uid="{00000000-0005-0000-0000-000001050000}"/>
    <cellStyle name="40% - Accent2 10 4" xfId="1284" xr:uid="{00000000-0005-0000-0000-000002050000}"/>
    <cellStyle name="40% - Accent2 10 5" xfId="1285" xr:uid="{00000000-0005-0000-0000-000003050000}"/>
    <cellStyle name="40% - Accent2 11" xfId="1286" xr:uid="{00000000-0005-0000-0000-000004050000}"/>
    <cellStyle name="40% - Accent2 11 2" xfId="1287" xr:uid="{00000000-0005-0000-0000-000005050000}"/>
    <cellStyle name="40% - Accent2 11 2 2" xfId="1288" xr:uid="{00000000-0005-0000-0000-000006050000}"/>
    <cellStyle name="40% - Accent2 11 2 2 2" xfId="1289" xr:uid="{00000000-0005-0000-0000-000007050000}"/>
    <cellStyle name="40% - Accent2 11 2 3" xfId="1290" xr:uid="{00000000-0005-0000-0000-000008050000}"/>
    <cellStyle name="40% - Accent2 11 2 4" xfId="1291" xr:uid="{00000000-0005-0000-0000-000009050000}"/>
    <cellStyle name="40% - Accent2 11 3" xfId="1292" xr:uid="{00000000-0005-0000-0000-00000A050000}"/>
    <cellStyle name="40% - Accent2 11 3 2" xfId="1293" xr:uid="{00000000-0005-0000-0000-00000B050000}"/>
    <cellStyle name="40% - Accent2 11 4" xfId="1294" xr:uid="{00000000-0005-0000-0000-00000C050000}"/>
    <cellStyle name="40% - Accent2 11 5" xfId="1295" xr:uid="{00000000-0005-0000-0000-00000D050000}"/>
    <cellStyle name="40% - Accent2 12" xfId="1296" xr:uid="{00000000-0005-0000-0000-00000E050000}"/>
    <cellStyle name="40% - Accent2 12 2" xfId="1297" xr:uid="{00000000-0005-0000-0000-00000F050000}"/>
    <cellStyle name="40% - Accent2 12 2 2" xfId="1298" xr:uid="{00000000-0005-0000-0000-000010050000}"/>
    <cellStyle name="40% - Accent2 12 3" xfId="1299" xr:uid="{00000000-0005-0000-0000-000011050000}"/>
    <cellStyle name="40% - Accent2 12 4" xfId="1300" xr:uid="{00000000-0005-0000-0000-000012050000}"/>
    <cellStyle name="40% - Accent2 13" xfId="1301" xr:uid="{00000000-0005-0000-0000-000013050000}"/>
    <cellStyle name="40% - Accent2 13 2" xfId="1302" xr:uid="{00000000-0005-0000-0000-000014050000}"/>
    <cellStyle name="40% - Accent2 14" xfId="1303" xr:uid="{00000000-0005-0000-0000-000015050000}"/>
    <cellStyle name="40% - Accent2 14 2" xfId="1304" xr:uid="{00000000-0005-0000-0000-000016050000}"/>
    <cellStyle name="40% - Accent2 15" xfId="1305" xr:uid="{00000000-0005-0000-0000-000017050000}"/>
    <cellStyle name="40% - Accent2 16" xfId="1306" xr:uid="{00000000-0005-0000-0000-000018050000}"/>
    <cellStyle name="40% - Accent2 2" xfId="1307" xr:uid="{00000000-0005-0000-0000-000019050000}"/>
    <cellStyle name="40% - Accent2 2 2" xfId="1308" xr:uid="{00000000-0005-0000-0000-00001A050000}"/>
    <cellStyle name="40% - Accent2 2 2 2" xfId="1309" xr:uid="{00000000-0005-0000-0000-00001B050000}"/>
    <cellStyle name="40% - Accent2 2 2 2 2" xfId="1310" xr:uid="{00000000-0005-0000-0000-00001C050000}"/>
    <cellStyle name="40% - Accent2 2 2 2 2 2" xfId="1311" xr:uid="{00000000-0005-0000-0000-00001D050000}"/>
    <cellStyle name="40% - Accent2 2 2 2 2 2 2" xfId="1312" xr:uid="{00000000-0005-0000-0000-00001E050000}"/>
    <cellStyle name="40% - Accent2 2 2 2 2 3" xfId="1313" xr:uid="{00000000-0005-0000-0000-00001F050000}"/>
    <cellStyle name="40% - Accent2 2 2 2 2 4" xfId="1314" xr:uid="{00000000-0005-0000-0000-000020050000}"/>
    <cellStyle name="40% - Accent2 2 2 2 3" xfId="1315" xr:uid="{00000000-0005-0000-0000-000021050000}"/>
    <cellStyle name="40% - Accent2 2 2 2 3 2" xfId="1316" xr:uid="{00000000-0005-0000-0000-000022050000}"/>
    <cellStyle name="40% - Accent2 2 2 2 4" xfId="1317" xr:uid="{00000000-0005-0000-0000-000023050000}"/>
    <cellStyle name="40% - Accent2 2 2 2 5" xfId="1318" xr:uid="{00000000-0005-0000-0000-000024050000}"/>
    <cellStyle name="40% - Accent2 2 2 3" xfId="1319" xr:uid="{00000000-0005-0000-0000-000025050000}"/>
    <cellStyle name="40% - Accent2 2 2 3 2" xfId="1320" xr:uid="{00000000-0005-0000-0000-000026050000}"/>
    <cellStyle name="40% - Accent2 2 2 3 2 2" xfId="1321" xr:uid="{00000000-0005-0000-0000-000027050000}"/>
    <cellStyle name="40% - Accent2 2 2 3 3" xfId="1322" xr:uid="{00000000-0005-0000-0000-000028050000}"/>
    <cellStyle name="40% - Accent2 2 2 3 4" xfId="1323" xr:uid="{00000000-0005-0000-0000-000029050000}"/>
    <cellStyle name="40% - Accent2 2 2 4" xfId="1324" xr:uid="{00000000-0005-0000-0000-00002A050000}"/>
    <cellStyle name="40% - Accent2 2 2 4 2" xfId="1325" xr:uid="{00000000-0005-0000-0000-00002B050000}"/>
    <cellStyle name="40% - Accent2 2 2 5" xfId="1326" xr:uid="{00000000-0005-0000-0000-00002C050000}"/>
    <cellStyle name="40% - Accent2 2 2 5 2" xfId="1327" xr:uid="{00000000-0005-0000-0000-00002D050000}"/>
    <cellStyle name="40% - Accent2 2 2 6" xfId="1328" xr:uid="{00000000-0005-0000-0000-00002E050000}"/>
    <cellStyle name="40% - Accent2 2 2 7" xfId="1329" xr:uid="{00000000-0005-0000-0000-00002F050000}"/>
    <cellStyle name="40% - Accent2 2 3" xfId="1330" xr:uid="{00000000-0005-0000-0000-000030050000}"/>
    <cellStyle name="40% - Accent2 2 3 2" xfId="1331" xr:uid="{00000000-0005-0000-0000-000031050000}"/>
    <cellStyle name="40% - Accent2 2 3 2 2" xfId="1332" xr:uid="{00000000-0005-0000-0000-000032050000}"/>
    <cellStyle name="40% - Accent2 2 3 2 2 2" xfId="1333" xr:uid="{00000000-0005-0000-0000-000033050000}"/>
    <cellStyle name="40% - Accent2 2 3 2 3" xfId="1334" xr:uid="{00000000-0005-0000-0000-000034050000}"/>
    <cellStyle name="40% - Accent2 2 3 2 4" xfId="1335" xr:uid="{00000000-0005-0000-0000-000035050000}"/>
    <cellStyle name="40% - Accent2 2 3 3" xfId="1336" xr:uid="{00000000-0005-0000-0000-000036050000}"/>
    <cellStyle name="40% - Accent2 2 3 3 2" xfId="1337" xr:uid="{00000000-0005-0000-0000-000037050000}"/>
    <cellStyle name="40% - Accent2 2 3 4" xfId="1338" xr:uid="{00000000-0005-0000-0000-000038050000}"/>
    <cellStyle name="40% - Accent2 2 3 5" xfId="1339" xr:uid="{00000000-0005-0000-0000-000039050000}"/>
    <cellStyle name="40% - Accent2 2 4" xfId="1340" xr:uid="{00000000-0005-0000-0000-00003A050000}"/>
    <cellStyle name="40% - Accent2 2 4 2" xfId="1341" xr:uid="{00000000-0005-0000-0000-00003B050000}"/>
    <cellStyle name="40% - Accent2 2 4 2 2" xfId="1342" xr:uid="{00000000-0005-0000-0000-00003C050000}"/>
    <cellStyle name="40% - Accent2 2 4 3" xfId="1343" xr:uid="{00000000-0005-0000-0000-00003D050000}"/>
    <cellStyle name="40% - Accent2 2 4 4" xfId="1344" xr:uid="{00000000-0005-0000-0000-00003E050000}"/>
    <cellStyle name="40% - Accent2 2 5" xfId="1345" xr:uid="{00000000-0005-0000-0000-00003F050000}"/>
    <cellStyle name="40% - Accent2 2 5 2" xfId="1346" xr:uid="{00000000-0005-0000-0000-000040050000}"/>
    <cellStyle name="40% - Accent2 2 6" xfId="1347" xr:uid="{00000000-0005-0000-0000-000041050000}"/>
    <cellStyle name="40% - Accent2 2 6 2" xfId="1348" xr:uid="{00000000-0005-0000-0000-000042050000}"/>
    <cellStyle name="40% - Accent2 2 7" xfId="1349" xr:uid="{00000000-0005-0000-0000-000043050000}"/>
    <cellStyle name="40% - Accent2 2 8" xfId="1350" xr:uid="{00000000-0005-0000-0000-000044050000}"/>
    <cellStyle name="40% - Accent2 3" xfId="1351" xr:uid="{00000000-0005-0000-0000-000045050000}"/>
    <cellStyle name="40% - Accent2 3 2" xfId="1352" xr:uid="{00000000-0005-0000-0000-000046050000}"/>
    <cellStyle name="40% - Accent2 4" xfId="1353" xr:uid="{00000000-0005-0000-0000-000047050000}"/>
    <cellStyle name="40% - Accent2 4 2" xfId="1354" xr:uid="{00000000-0005-0000-0000-000048050000}"/>
    <cellStyle name="40% - Accent2 4 2 2" xfId="1355" xr:uid="{00000000-0005-0000-0000-000049050000}"/>
    <cellStyle name="40% - Accent2 4 2 2 2" xfId="1356" xr:uid="{00000000-0005-0000-0000-00004A050000}"/>
    <cellStyle name="40% - Accent2 4 2 2 2 2" xfId="1357" xr:uid="{00000000-0005-0000-0000-00004B050000}"/>
    <cellStyle name="40% - Accent2 4 2 2 3" xfId="1358" xr:uid="{00000000-0005-0000-0000-00004C050000}"/>
    <cellStyle name="40% - Accent2 4 2 2 4" xfId="1359" xr:uid="{00000000-0005-0000-0000-00004D050000}"/>
    <cellStyle name="40% - Accent2 4 2 3" xfId="1360" xr:uid="{00000000-0005-0000-0000-00004E050000}"/>
    <cellStyle name="40% - Accent2 4 2 3 2" xfId="1361" xr:uid="{00000000-0005-0000-0000-00004F050000}"/>
    <cellStyle name="40% - Accent2 4 2 4" xfId="1362" xr:uid="{00000000-0005-0000-0000-000050050000}"/>
    <cellStyle name="40% - Accent2 4 2 5" xfId="1363" xr:uid="{00000000-0005-0000-0000-000051050000}"/>
    <cellStyle name="40% - Accent2 4 3" xfId="1364" xr:uid="{00000000-0005-0000-0000-000052050000}"/>
    <cellStyle name="40% - Accent2 4 3 2" xfId="1365" xr:uid="{00000000-0005-0000-0000-000053050000}"/>
    <cellStyle name="40% - Accent2 4 3 2 2" xfId="1366" xr:uid="{00000000-0005-0000-0000-000054050000}"/>
    <cellStyle name="40% - Accent2 4 3 3" xfId="1367" xr:uid="{00000000-0005-0000-0000-000055050000}"/>
    <cellStyle name="40% - Accent2 4 3 4" xfId="1368" xr:uid="{00000000-0005-0000-0000-000056050000}"/>
    <cellStyle name="40% - Accent2 4 4" xfId="1369" xr:uid="{00000000-0005-0000-0000-000057050000}"/>
    <cellStyle name="40% - Accent2 4 4 2" xfId="1370" xr:uid="{00000000-0005-0000-0000-000058050000}"/>
    <cellStyle name="40% - Accent2 4 5" xfId="1371" xr:uid="{00000000-0005-0000-0000-000059050000}"/>
    <cellStyle name="40% - Accent2 4 5 2" xfId="1372" xr:uid="{00000000-0005-0000-0000-00005A050000}"/>
    <cellStyle name="40% - Accent2 4 6" xfId="1373" xr:uid="{00000000-0005-0000-0000-00005B050000}"/>
    <cellStyle name="40% - Accent2 4 7" xfId="1374" xr:uid="{00000000-0005-0000-0000-00005C050000}"/>
    <cellStyle name="40% - Accent2 5" xfId="1375" xr:uid="{00000000-0005-0000-0000-00005D050000}"/>
    <cellStyle name="40% - Accent2 5 2" xfId="1376" xr:uid="{00000000-0005-0000-0000-00005E050000}"/>
    <cellStyle name="40% - Accent2 5 2 2" xfId="1377" xr:uid="{00000000-0005-0000-0000-00005F050000}"/>
    <cellStyle name="40% - Accent2 5 2 2 2" xfId="1378" xr:uid="{00000000-0005-0000-0000-000060050000}"/>
    <cellStyle name="40% - Accent2 5 2 2 2 2" xfId="1379" xr:uid="{00000000-0005-0000-0000-000061050000}"/>
    <cellStyle name="40% - Accent2 5 2 2 3" xfId="1380" xr:uid="{00000000-0005-0000-0000-000062050000}"/>
    <cellStyle name="40% - Accent2 5 2 2 4" xfId="1381" xr:uid="{00000000-0005-0000-0000-000063050000}"/>
    <cellStyle name="40% - Accent2 5 2 3" xfId="1382" xr:uid="{00000000-0005-0000-0000-000064050000}"/>
    <cellStyle name="40% - Accent2 5 2 3 2" xfId="1383" xr:uid="{00000000-0005-0000-0000-000065050000}"/>
    <cellStyle name="40% - Accent2 5 2 4" xfId="1384" xr:uid="{00000000-0005-0000-0000-000066050000}"/>
    <cellStyle name="40% - Accent2 5 2 5" xfId="1385" xr:uid="{00000000-0005-0000-0000-000067050000}"/>
    <cellStyle name="40% - Accent2 5 3" xfId="1386" xr:uid="{00000000-0005-0000-0000-000068050000}"/>
    <cellStyle name="40% - Accent2 5 3 2" xfId="1387" xr:uid="{00000000-0005-0000-0000-000069050000}"/>
    <cellStyle name="40% - Accent2 5 3 2 2" xfId="1388" xr:uid="{00000000-0005-0000-0000-00006A050000}"/>
    <cellStyle name="40% - Accent2 5 3 3" xfId="1389" xr:uid="{00000000-0005-0000-0000-00006B050000}"/>
    <cellStyle name="40% - Accent2 5 3 4" xfId="1390" xr:uid="{00000000-0005-0000-0000-00006C050000}"/>
    <cellStyle name="40% - Accent2 5 4" xfId="1391" xr:uid="{00000000-0005-0000-0000-00006D050000}"/>
    <cellStyle name="40% - Accent2 5 4 2" xfId="1392" xr:uid="{00000000-0005-0000-0000-00006E050000}"/>
    <cellStyle name="40% - Accent2 5 5" xfId="1393" xr:uid="{00000000-0005-0000-0000-00006F050000}"/>
    <cellStyle name="40% - Accent2 5 5 2" xfId="1394" xr:uid="{00000000-0005-0000-0000-000070050000}"/>
    <cellStyle name="40% - Accent2 5 6" xfId="1395" xr:uid="{00000000-0005-0000-0000-000071050000}"/>
    <cellStyle name="40% - Accent2 5 7" xfId="1396" xr:uid="{00000000-0005-0000-0000-000072050000}"/>
    <cellStyle name="40% - Accent2 6" xfId="1397" xr:uid="{00000000-0005-0000-0000-000073050000}"/>
    <cellStyle name="40% - Accent2 7" xfId="1398" xr:uid="{00000000-0005-0000-0000-000074050000}"/>
    <cellStyle name="40% - Accent2 7 2" xfId="1399" xr:uid="{00000000-0005-0000-0000-000075050000}"/>
    <cellStyle name="40% - Accent2 7 2 2" xfId="1400" xr:uid="{00000000-0005-0000-0000-000076050000}"/>
    <cellStyle name="40% - Accent2 7 2 2 2" xfId="1401" xr:uid="{00000000-0005-0000-0000-000077050000}"/>
    <cellStyle name="40% - Accent2 7 2 2 2 2" xfId="1402" xr:uid="{00000000-0005-0000-0000-000078050000}"/>
    <cellStyle name="40% - Accent2 7 2 2 3" xfId="1403" xr:uid="{00000000-0005-0000-0000-000079050000}"/>
    <cellStyle name="40% - Accent2 7 2 2 4" xfId="1404" xr:uid="{00000000-0005-0000-0000-00007A050000}"/>
    <cellStyle name="40% - Accent2 7 2 3" xfId="1405" xr:uid="{00000000-0005-0000-0000-00007B050000}"/>
    <cellStyle name="40% - Accent2 7 2 3 2" xfId="1406" xr:uid="{00000000-0005-0000-0000-00007C050000}"/>
    <cellStyle name="40% - Accent2 7 2 4" xfId="1407" xr:uid="{00000000-0005-0000-0000-00007D050000}"/>
    <cellStyle name="40% - Accent2 7 2 5" xfId="1408" xr:uid="{00000000-0005-0000-0000-00007E050000}"/>
    <cellStyle name="40% - Accent2 7 3" xfId="1409" xr:uid="{00000000-0005-0000-0000-00007F050000}"/>
    <cellStyle name="40% - Accent2 7 3 2" xfId="1410" xr:uid="{00000000-0005-0000-0000-000080050000}"/>
    <cellStyle name="40% - Accent2 7 3 2 2" xfId="1411" xr:uid="{00000000-0005-0000-0000-000081050000}"/>
    <cellStyle name="40% - Accent2 7 3 3" xfId="1412" xr:uid="{00000000-0005-0000-0000-000082050000}"/>
    <cellStyle name="40% - Accent2 7 3 4" xfId="1413" xr:uid="{00000000-0005-0000-0000-000083050000}"/>
    <cellStyle name="40% - Accent2 7 4" xfId="1414" xr:uid="{00000000-0005-0000-0000-000084050000}"/>
    <cellStyle name="40% - Accent2 7 4 2" xfId="1415" xr:uid="{00000000-0005-0000-0000-000085050000}"/>
    <cellStyle name="40% - Accent2 7 5" xfId="1416" xr:uid="{00000000-0005-0000-0000-000086050000}"/>
    <cellStyle name="40% - Accent2 7 6" xfId="1417" xr:uid="{00000000-0005-0000-0000-000087050000}"/>
    <cellStyle name="40% - Accent2 8" xfId="1418" xr:uid="{00000000-0005-0000-0000-000088050000}"/>
    <cellStyle name="40% - Accent2 8 2" xfId="1419" xr:uid="{00000000-0005-0000-0000-000089050000}"/>
    <cellStyle name="40% - Accent2 8 2 2" xfId="1420" xr:uid="{00000000-0005-0000-0000-00008A050000}"/>
    <cellStyle name="40% - Accent2 8 2 2 2" xfId="1421" xr:uid="{00000000-0005-0000-0000-00008B050000}"/>
    <cellStyle name="40% - Accent2 8 2 2 2 2" xfId="1422" xr:uid="{00000000-0005-0000-0000-00008C050000}"/>
    <cellStyle name="40% - Accent2 8 2 2 3" xfId="1423" xr:uid="{00000000-0005-0000-0000-00008D050000}"/>
    <cellStyle name="40% - Accent2 8 2 2 4" xfId="1424" xr:uid="{00000000-0005-0000-0000-00008E050000}"/>
    <cellStyle name="40% - Accent2 8 2 3" xfId="1425" xr:uid="{00000000-0005-0000-0000-00008F050000}"/>
    <cellStyle name="40% - Accent2 8 2 3 2" xfId="1426" xr:uid="{00000000-0005-0000-0000-000090050000}"/>
    <cellStyle name="40% - Accent2 8 2 4" xfId="1427" xr:uid="{00000000-0005-0000-0000-000091050000}"/>
    <cellStyle name="40% - Accent2 8 2 5" xfId="1428" xr:uid="{00000000-0005-0000-0000-000092050000}"/>
    <cellStyle name="40% - Accent2 8 3" xfId="1429" xr:uid="{00000000-0005-0000-0000-000093050000}"/>
    <cellStyle name="40% - Accent2 8 3 2" xfId="1430" xr:uid="{00000000-0005-0000-0000-000094050000}"/>
    <cellStyle name="40% - Accent2 8 3 2 2" xfId="1431" xr:uid="{00000000-0005-0000-0000-000095050000}"/>
    <cellStyle name="40% - Accent2 8 3 3" xfId="1432" xr:uid="{00000000-0005-0000-0000-000096050000}"/>
    <cellStyle name="40% - Accent2 8 3 4" xfId="1433" xr:uid="{00000000-0005-0000-0000-000097050000}"/>
    <cellStyle name="40% - Accent2 8 4" xfId="1434" xr:uid="{00000000-0005-0000-0000-000098050000}"/>
    <cellStyle name="40% - Accent2 8 4 2" xfId="1435" xr:uid="{00000000-0005-0000-0000-000099050000}"/>
    <cellStyle name="40% - Accent2 8 5" xfId="1436" xr:uid="{00000000-0005-0000-0000-00009A050000}"/>
    <cellStyle name="40% - Accent2 8 6" xfId="1437" xr:uid="{00000000-0005-0000-0000-00009B050000}"/>
    <cellStyle name="40% - Accent2 9" xfId="1438" xr:uid="{00000000-0005-0000-0000-00009C050000}"/>
    <cellStyle name="40% - Accent2 9 2" xfId="1439" xr:uid="{00000000-0005-0000-0000-00009D050000}"/>
    <cellStyle name="40% - Accent2 9 2 2" xfId="1440" xr:uid="{00000000-0005-0000-0000-00009E050000}"/>
    <cellStyle name="40% - Accent2 9 2 2 2" xfId="1441" xr:uid="{00000000-0005-0000-0000-00009F050000}"/>
    <cellStyle name="40% - Accent2 9 2 2 2 2" xfId="1442" xr:uid="{00000000-0005-0000-0000-0000A0050000}"/>
    <cellStyle name="40% - Accent2 9 2 2 3" xfId="1443" xr:uid="{00000000-0005-0000-0000-0000A1050000}"/>
    <cellStyle name="40% - Accent2 9 2 2 4" xfId="1444" xr:uid="{00000000-0005-0000-0000-0000A2050000}"/>
    <cellStyle name="40% - Accent2 9 2 3" xfId="1445" xr:uid="{00000000-0005-0000-0000-0000A3050000}"/>
    <cellStyle name="40% - Accent2 9 2 3 2" xfId="1446" xr:uid="{00000000-0005-0000-0000-0000A4050000}"/>
    <cellStyle name="40% - Accent2 9 2 4" xfId="1447" xr:uid="{00000000-0005-0000-0000-0000A5050000}"/>
    <cellStyle name="40% - Accent2 9 2 5" xfId="1448" xr:uid="{00000000-0005-0000-0000-0000A6050000}"/>
    <cellStyle name="40% - Accent2 9 3" xfId="1449" xr:uid="{00000000-0005-0000-0000-0000A7050000}"/>
    <cellStyle name="40% - Accent2 9 3 2" xfId="1450" xr:uid="{00000000-0005-0000-0000-0000A8050000}"/>
    <cellStyle name="40% - Accent2 9 3 2 2" xfId="1451" xr:uid="{00000000-0005-0000-0000-0000A9050000}"/>
    <cellStyle name="40% - Accent2 9 3 3" xfId="1452" xr:uid="{00000000-0005-0000-0000-0000AA050000}"/>
    <cellStyle name="40% - Accent2 9 3 4" xfId="1453" xr:uid="{00000000-0005-0000-0000-0000AB050000}"/>
    <cellStyle name="40% - Accent2 9 4" xfId="1454" xr:uid="{00000000-0005-0000-0000-0000AC050000}"/>
    <cellStyle name="40% - Accent2 9 4 2" xfId="1455" xr:uid="{00000000-0005-0000-0000-0000AD050000}"/>
    <cellStyle name="40% - Accent2 9 5" xfId="1456" xr:uid="{00000000-0005-0000-0000-0000AE050000}"/>
    <cellStyle name="40% - Accent2 9 6" xfId="1457" xr:uid="{00000000-0005-0000-0000-0000AF050000}"/>
    <cellStyle name="40% - Accent3 10" xfId="1458" xr:uid="{00000000-0005-0000-0000-0000B0050000}"/>
    <cellStyle name="40% - Accent3 10 2" xfId="1459" xr:uid="{00000000-0005-0000-0000-0000B1050000}"/>
    <cellStyle name="40% - Accent3 10 2 2" xfId="1460" xr:uid="{00000000-0005-0000-0000-0000B2050000}"/>
    <cellStyle name="40% - Accent3 10 2 2 2" xfId="1461" xr:uid="{00000000-0005-0000-0000-0000B3050000}"/>
    <cellStyle name="40% - Accent3 10 2 3" xfId="1462" xr:uid="{00000000-0005-0000-0000-0000B4050000}"/>
    <cellStyle name="40% - Accent3 10 2 4" xfId="1463" xr:uid="{00000000-0005-0000-0000-0000B5050000}"/>
    <cellStyle name="40% - Accent3 10 3" xfId="1464" xr:uid="{00000000-0005-0000-0000-0000B6050000}"/>
    <cellStyle name="40% - Accent3 10 3 2" xfId="1465" xr:uid="{00000000-0005-0000-0000-0000B7050000}"/>
    <cellStyle name="40% - Accent3 10 4" xfId="1466" xr:uid="{00000000-0005-0000-0000-0000B8050000}"/>
    <cellStyle name="40% - Accent3 10 5" xfId="1467" xr:uid="{00000000-0005-0000-0000-0000B9050000}"/>
    <cellStyle name="40% - Accent3 11" xfId="1468" xr:uid="{00000000-0005-0000-0000-0000BA050000}"/>
    <cellStyle name="40% - Accent3 11 2" xfId="1469" xr:uid="{00000000-0005-0000-0000-0000BB050000}"/>
    <cellStyle name="40% - Accent3 11 2 2" xfId="1470" xr:uid="{00000000-0005-0000-0000-0000BC050000}"/>
    <cellStyle name="40% - Accent3 11 2 2 2" xfId="1471" xr:uid="{00000000-0005-0000-0000-0000BD050000}"/>
    <cellStyle name="40% - Accent3 11 2 3" xfId="1472" xr:uid="{00000000-0005-0000-0000-0000BE050000}"/>
    <cellStyle name="40% - Accent3 11 2 4" xfId="1473" xr:uid="{00000000-0005-0000-0000-0000BF050000}"/>
    <cellStyle name="40% - Accent3 11 3" xfId="1474" xr:uid="{00000000-0005-0000-0000-0000C0050000}"/>
    <cellStyle name="40% - Accent3 11 3 2" xfId="1475" xr:uid="{00000000-0005-0000-0000-0000C1050000}"/>
    <cellStyle name="40% - Accent3 11 4" xfId="1476" xr:uid="{00000000-0005-0000-0000-0000C2050000}"/>
    <cellStyle name="40% - Accent3 11 5" xfId="1477" xr:uid="{00000000-0005-0000-0000-0000C3050000}"/>
    <cellStyle name="40% - Accent3 12" xfId="1478" xr:uid="{00000000-0005-0000-0000-0000C4050000}"/>
    <cellStyle name="40% - Accent3 12 2" xfId="1479" xr:uid="{00000000-0005-0000-0000-0000C5050000}"/>
    <cellStyle name="40% - Accent3 12 2 2" xfId="1480" xr:uid="{00000000-0005-0000-0000-0000C6050000}"/>
    <cellStyle name="40% - Accent3 12 3" xfId="1481" xr:uid="{00000000-0005-0000-0000-0000C7050000}"/>
    <cellStyle name="40% - Accent3 12 4" xfId="1482" xr:uid="{00000000-0005-0000-0000-0000C8050000}"/>
    <cellStyle name="40% - Accent3 13" xfId="1483" xr:uid="{00000000-0005-0000-0000-0000C9050000}"/>
    <cellStyle name="40% - Accent3 13 2" xfId="1484" xr:uid="{00000000-0005-0000-0000-0000CA050000}"/>
    <cellStyle name="40% - Accent3 14" xfId="1485" xr:uid="{00000000-0005-0000-0000-0000CB050000}"/>
    <cellStyle name="40% - Accent3 14 2" xfId="1486" xr:uid="{00000000-0005-0000-0000-0000CC050000}"/>
    <cellStyle name="40% - Accent3 15" xfId="1487" xr:uid="{00000000-0005-0000-0000-0000CD050000}"/>
    <cellStyle name="40% - Accent3 16" xfId="1488" xr:uid="{00000000-0005-0000-0000-0000CE050000}"/>
    <cellStyle name="40% - Accent3 2" xfId="1489" xr:uid="{00000000-0005-0000-0000-0000CF050000}"/>
    <cellStyle name="40% - Accent3 2 2" xfId="1490" xr:uid="{00000000-0005-0000-0000-0000D0050000}"/>
    <cellStyle name="40% - Accent3 2 2 2" xfId="1491" xr:uid="{00000000-0005-0000-0000-0000D1050000}"/>
    <cellStyle name="40% - Accent3 2 2 2 2" xfId="1492" xr:uid="{00000000-0005-0000-0000-0000D2050000}"/>
    <cellStyle name="40% - Accent3 2 2 2 2 2" xfId="1493" xr:uid="{00000000-0005-0000-0000-0000D3050000}"/>
    <cellStyle name="40% - Accent3 2 2 2 2 2 2" xfId="1494" xr:uid="{00000000-0005-0000-0000-0000D4050000}"/>
    <cellStyle name="40% - Accent3 2 2 2 2 3" xfId="1495" xr:uid="{00000000-0005-0000-0000-0000D5050000}"/>
    <cellStyle name="40% - Accent3 2 2 2 2 4" xfId="1496" xr:uid="{00000000-0005-0000-0000-0000D6050000}"/>
    <cellStyle name="40% - Accent3 2 2 2 3" xfId="1497" xr:uid="{00000000-0005-0000-0000-0000D7050000}"/>
    <cellStyle name="40% - Accent3 2 2 2 3 2" xfId="1498" xr:uid="{00000000-0005-0000-0000-0000D8050000}"/>
    <cellStyle name="40% - Accent3 2 2 2 4" xfId="1499" xr:uid="{00000000-0005-0000-0000-0000D9050000}"/>
    <cellStyle name="40% - Accent3 2 2 2 5" xfId="1500" xr:uid="{00000000-0005-0000-0000-0000DA050000}"/>
    <cellStyle name="40% - Accent3 2 2 3" xfId="1501" xr:uid="{00000000-0005-0000-0000-0000DB050000}"/>
    <cellStyle name="40% - Accent3 2 2 3 2" xfId="1502" xr:uid="{00000000-0005-0000-0000-0000DC050000}"/>
    <cellStyle name="40% - Accent3 2 2 3 2 2" xfId="1503" xr:uid="{00000000-0005-0000-0000-0000DD050000}"/>
    <cellStyle name="40% - Accent3 2 2 3 3" xfId="1504" xr:uid="{00000000-0005-0000-0000-0000DE050000}"/>
    <cellStyle name="40% - Accent3 2 2 3 4" xfId="1505" xr:uid="{00000000-0005-0000-0000-0000DF050000}"/>
    <cellStyle name="40% - Accent3 2 2 4" xfId="1506" xr:uid="{00000000-0005-0000-0000-0000E0050000}"/>
    <cellStyle name="40% - Accent3 2 2 4 2" xfId="1507" xr:uid="{00000000-0005-0000-0000-0000E1050000}"/>
    <cellStyle name="40% - Accent3 2 2 5" xfId="1508" xr:uid="{00000000-0005-0000-0000-0000E2050000}"/>
    <cellStyle name="40% - Accent3 2 2 5 2" xfId="1509" xr:uid="{00000000-0005-0000-0000-0000E3050000}"/>
    <cellStyle name="40% - Accent3 2 2 6" xfId="1510" xr:uid="{00000000-0005-0000-0000-0000E4050000}"/>
    <cellStyle name="40% - Accent3 2 2 7" xfId="1511" xr:uid="{00000000-0005-0000-0000-0000E5050000}"/>
    <cellStyle name="40% - Accent3 2 3" xfId="1512" xr:uid="{00000000-0005-0000-0000-0000E6050000}"/>
    <cellStyle name="40% - Accent3 2 3 2" xfId="1513" xr:uid="{00000000-0005-0000-0000-0000E7050000}"/>
    <cellStyle name="40% - Accent3 2 3 2 2" xfId="1514" xr:uid="{00000000-0005-0000-0000-0000E8050000}"/>
    <cellStyle name="40% - Accent3 2 3 2 2 2" xfId="1515" xr:uid="{00000000-0005-0000-0000-0000E9050000}"/>
    <cellStyle name="40% - Accent3 2 3 2 3" xfId="1516" xr:uid="{00000000-0005-0000-0000-0000EA050000}"/>
    <cellStyle name="40% - Accent3 2 3 2 4" xfId="1517" xr:uid="{00000000-0005-0000-0000-0000EB050000}"/>
    <cellStyle name="40% - Accent3 2 3 3" xfId="1518" xr:uid="{00000000-0005-0000-0000-0000EC050000}"/>
    <cellStyle name="40% - Accent3 2 3 3 2" xfId="1519" xr:uid="{00000000-0005-0000-0000-0000ED050000}"/>
    <cellStyle name="40% - Accent3 2 3 4" xfId="1520" xr:uid="{00000000-0005-0000-0000-0000EE050000}"/>
    <cellStyle name="40% - Accent3 2 3 5" xfId="1521" xr:uid="{00000000-0005-0000-0000-0000EF050000}"/>
    <cellStyle name="40% - Accent3 2 4" xfId="1522" xr:uid="{00000000-0005-0000-0000-0000F0050000}"/>
    <cellStyle name="40% - Accent3 2 4 2" xfId="1523" xr:uid="{00000000-0005-0000-0000-0000F1050000}"/>
    <cellStyle name="40% - Accent3 2 4 2 2" xfId="1524" xr:uid="{00000000-0005-0000-0000-0000F2050000}"/>
    <cellStyle name="40% - Accent3 2 4 3" xfId="1525" xr:uid="{00000000-0005-0000-0000-0000F3050000}"/>
    <cellStyle name="40% - Accent3 2 4 4" xfId="1526" xr:uid="{00000000-0005-0000-0000-0000F4050000}"/>
    <cellStyle name="40% - Accent3 2 5" xfId="1527" xr:uid="{00000000-0005-0000-0000-0000F5050000}"/>
    <cellStyle name="40% - Accent3 2 5 2" xfId="1528" xr:uid="{00000000-0005-0000-0000-0000F6050000}"/>
    <cellStyle name="40% - Accent3 2 6" xfId="1529" xr:uid="{00000000-0005-0000-0000-0000F7050000}"/>
    <cellStyle name="40% - Accent3 2 6 2" xfId="1530" xr:uid="{00000000-0005-0000-0000-0000F8050000}"/>
    <cellStyle name="40% - Accent3 2 7" xfId="1531" xr:uid="{00000000-0005-0000-0000-0000F9050000}"/>
    <cellStyle name="40% - Accent3 2 8" xfId="1532" xr:uid="{00000000-0005-0000-0000-0000FA050000}"/>
    <cellStyle name="40% - Accent3 3" xfId="1533" xr:uid="{00000000-0005-0000-0000-0000FB050000}"/>
    <cellStyle name="40% - Accent3 3 2" xfId="1534" xr:uid="{00000000-0005-0000-0000-0000FC050000}"/>
    <cellStyle name="40% - Accent3 4" xfId="1535" xr:uid="{00000000-0005-0000-0000-0000FD050000}"/>
    <cellStyle name="40% - Accent3 4 2" xfId="1536" xr:uid="{00000000-0005-0000-0000-0000FE050000}"/>
    <cellStyle name="40% - Accent3 4 2 2" xfId="1537" xr:uid="{00000000-0005-0000-0000-0000FF050000}"/>
    <cellStyle name="40% - Accent3 4 2 2 2" xfId="1538" xr:uid="{00000000-0005-0000-0000-000000060000}"/>
    <cellStyle name="40% - Accent3 4 2 2 2 2" xfId="1539" xr:uid="{00000000-0005-0000-0000-000001060000}"/>
    <cellStyle name="40% - Accent3 4 2 2 3" xfId="1540" xr:uid="{00000000-0005-0000-0000-000002060000}"/>
    <cellStyle name="40% - Accent3 4 2 2 4" xfId="1541" xr:uid="{00000000-0005-0000-0000-000003060000}"/>
    <cellStyle name="40% - Accent3 4 2 3" xfId="1542" xr:uid="{00000000-0005-0000-0000-000004060000}"/>
    <cellStyle name="40% - Accent3 4 2 3 2" xfId="1543" xr:uid="{00000000-0005-0000-0000-000005060000}"/>
    <cellStyle name="40% - Accent3 4 2 4" xfId="1544" xr:uid="{00000000-0005-0000-0000-000006060000}"/>
    <cellStyle name="40% - Accent3 4 2 5" xfId="1545" xr:uid="{00000000-0005-0000-0000-000007060000}"/>
    <cellStyle name="40% - Accent3 4 3" xfId="1546" xr:uid="{00000000-0005-0000-0000-000008060000}"/>
    <cellStyle name="40% - Accent3 4 3 2" xfId="1547" xr:uid="{00000000-0005-0000-0000-000009060000}"/>
    <cellStyle name="40% - Accent3 4 3 2 2" xfId="1548" xr:uid="{00000000-0005-0000-0000-00000A060000}"/>
    <cellStyle name="40% - Accent3 4 3 3" xfId="1549" xr:uid="{00000000-0005-0000-0000-00000B060000}"/>
    <cellStyle name="40% - Accent3 4 3 4" xfId="1550" xr:uid="{00000000-0005-0000-0000-00000C060000}"/>
    <cellStyle name="40% - Accent3 4 4" xfId="1551" xr:uid="{00000000-0005-0000-0000-00000D060000}"/>
    <cellStyle name="40% - Accent3 4 4 2" xfId="1552" xr:uid="{00000000-0005-0000-0000-00000E060000}"/>
    <cellStyle name="40% - Accent3 4 5" xfId="1553" xr:uid="{00000000-0005-0000-0000-00000F060000}"/>
    <cellStyle name="40% - Accent3 4 5 2" xfId="1554" xr:uid="{00000000-0005-0000-0000-000010060000}"/>
    <cellStyle name="40% - Accent3 4 6" xfId="1555" xr:uid="{00000000-0005-0000-0000-000011060000}"/>
    <cellStyle name="40% - Accent3 4 7" xfId="1556" xr:uid="{00000000-0005-0000-0000-000012060000}"/>
    <cellStyle name="40% - Accent3 5" xfId="1557" xr:uid="{00000000-0005-0000-0000-000013060000}"/>
    <cellStyle name="40% - Accent3 5 2" xfId="1558" xr:uid="{00000000-0005-0000-0000-000014060000}"/>
    <cellStyle name="40% - Accent3 5 2 2" xfId="1559" xr:uid="{00000000-0005-0000-0000-000015060000}"/>
    <cellStyle name="40% - Accent3 5 2 2 2" xfId="1560" xr:uid="{00000000-0005-0000-0000-000016060000}"/>
    <cellStyle name="40% - Accent3 5 2 2 2 2" xfId="1561" xr:uid="{00000000-0005-0000-0000-000017060000}"/>
    <cellStyle name="40% - Accent3 5 2 2 3" xfId="1562" xr:uid="{00000000-0005-0000-0000-000018060000}"/>
    <cellStyle name="40% - Accent3 5 2 2 4" xfId="1563" xr:uid="{00000000-0005-0000-0000-000019060000}"/>
    <cellStyle name="40% - Accent3 5 2 3" xfId="1564" xr:uid="{00000000-0005-0000-0000-00001A060000}"/>
    <cellStyle name="40% - Accent3 5 2 3 2" xfId="1565" xr:uid="{00000000-0005-0000-0000-00001B060000}"/>
    <cellStyle name="40% - Accent3 5 2 4" xfId="1566" xr:uid="{00000000-0005-0000-0000-00001C060000}"/>
    <cellStyle name="40% - Accent3 5 2 5" xfId="1567" xr:uid="{00000000-0005-0000-0000-00001D060000}"/>
    <cellStyle name="40% - Accent3 5 3" xfId="1568" xr:uid="{00000000-0005-0000-0000-00001E060000}"/>
    <cellStyle name="40% - Accent3 5 3 2" xfId="1569" xr:uid="{00000000-0005-0000-0000-00001F060000}"/>
    <cellStyle name="40% - Accent3 5 3 2 2" xfId="1570" xr:uid="{00000000-0005-0000-0000-000020060000}"/>
    <cellStyle name="40% - Accent3 5 3 3" xfId="1571" xr:uid="{00000000-0005-0000-0000-000021060000}"/>
    <cellStyle name="40% - Accent3 5 3 4" xfId="1572" xr:uid="{00000000-0005-0000-0000-000022060000}"/>
    <cellStyle name="40% - Accent3 5 4" xfId="1573" xr:uid="{00000000-0005-0000-0000-000023060000}"/>
    <cellStyle name="40% - Accent3 5 4 2" xfId="1574" xr:uid="{00000000-0005-0000-0000-000024060000}"/>
    <cellStyle name="40% - Accent3 5 5" xfId="1575" xr:uid="{00000000-0005-0000-0000-000025060000}"/>
    <cellStyle name="40% - Accent3 5 5 2" xfId="1576" xr:uid="{00000000-0005-0000-0000-000026060000}"/>
    <cellStyle name="40% - Accent3 5 6" xfId="1577" xr:uid="{00000000-0005-0000-0000-000027060000}"/>
    <cellStyle name="40% - Accent3 5 7" xfId="1578" xr:uid="{00000000-0005-0000-0000-000028060000}"/>
    <cellStyle name="40% - Accent3 6" xfId="1579" xr:uid="{00000000-0005-0000-0000-000029060000}"/>
    <cellStyle name="40% - Accent3 7" xfId="1580" xr:uid="{00000000-0005-0000-0000-00002A060000}"/>
    <cellStyle name="40% - Accent3 7 2" xfId="1581" xr:uid="{00000000-0005-0000-0000-00002B060000}"/>
    <cellStyle name="40% - Accent3 7 2 2" xfId="1582" xr:uid="{00000000-0005-0000-0000-00002C060000}"/>
    <cellStyle name="40% - Accent3 7 2 2 2" xfId="1583" xr:uid="{00000000-0005-0000-0000-00002D060000}"/>
    <cellStyle name="40% - Accent3 7 2 2 2 2" xfId="1584" xr:uid="{00000000-0005-0000-0000-00002E060000}"/>
    <cellStyle name="40% - Accent3 7 2 2 3" xfId="1585" xr:uid="{00000000-0005-0000-0000-00002F060000}"/>
    <cellStyle name="40% - Accent3 7 2 2 4" xfId="1586" xr:uid="{00000000-0005-0000-0000-000030060000}"/>
    <cellStyle name="40% - Accent3 7 2 3" xfId="1587" xr:uid="{00000000-0005-0000-0000-000031060000}"/>
    <cellStyle name="40% - Accent3 7 2 3 2" xfId="1588" xr:uid="{00000000-0005-0000-0000-000032060000}"/>
    <cellStyle name="40% - Accent3 7 2 4" xfId="1589" xr:uid="{00000000-0005-0000-0000-000033060000}"/>
    <cellStyle name="40% - Accent3 7 2 5" xfId="1590" xr:uid="{00000000-0005-0000-0000-000034060000}"/>
    <cellStyle name="40% - Accent3 7 3" xfId="1591" xr:uid="{00000000-0005-0000-0000-000035060000}"/>
    <cellStyle name="40% - Accent3 7 3 2" xfId="1592" xr:uid="{00000000-0005-0000-0000-000036060000}"/>
    <cellStyle name="40% - Accent3 7 3 2 2" xfId="1593" xr:uid="{00000000-0005-0000-0000-000037060000}"/>
    <cellStyle name="40% - Accent3 7 3 3" xfId="1594" xr:uid="{00000000-0005-0000-0000-000038060000}"/>
    <cellStyle name="40% - Accent3 7 3 4" xfId="1595" xr:uid="{00000000-0005-0000-0000-000039060000}"/>
    <cellStyle name="40% - Accent3 7 4" xfId="1596" xr:uid="{00000000-0005-0000-0000-00003A060000}"/>
    <cellStyle name="40% - Accent3 7 4 2" xfId="1597" xr:uid="{00000000-0005-0000-0000-00003B060000}"/>
    <cellStyle name="40% - Accent3 7 5" xfId="1598" xr:uid="{00000000-0005-0000-0000-00003C060000}"/>
    <cellStyle name="40% - Accent3 7 6" xfId="1599" xr:uid="{00000000-0005-0000-0000-00003D060000}"/>
    <cellStyle name="40% - Accent3 8" xfId="1600" xr:uid="{00000000-0005-0000-0000-00003E060000}"/>
    <cellStyle name="40% - Accent3 8 2" xfId="1601" xr:uid="{00000000-0005-0000-0000-00003F060000}"/>
    <cellStyle name="40% - Accent3 8 2 2" xfId="1602" xr:uid="{00000000-0005-0000-0000-000040060000}"/>
    <cellStyle name="40% - Accent3 8 2 2 2" xfId="1603" xr:uid="{00000000-0005-0000-0000-000041060000}"/>
    <cellStyle name="40% - Accent3 8 2 2 2 2" xfId="1604" xr:uid="{00000000-0005-0000-0000-000042060000}"/>
    <cellStyle name="40% - Accent3 8 2 2 3" xfId="1605" xr:uid="{00000000-0005-0000-0000-000043060000}"/>
    <cellStyle name="40% - Accent3 8 2 2 4" xfId="1606" xr:uid="{00000000-0005-0000-0000-000044060000}"/>
    <cellStyle name="40% - Accent3 8 2 3" xfId="1607" xr:uid="{00000000-0005-0000-0000-000045060000}"/>
    <cellStyle name="40% - Accent3 8 2 3 2" xfId="1608" xr:uid="{00000000-0005-0000-0000-000046060000}"/>
    <cellStyle name="40% - Accent3 8 2 4" xfId="1609" xr:uid="{00000000-0005-0000-0000-000047060000}"/>
    <cellStyle name="40% - Accent3 8 2 5" xfId="1610" xr:uid="{00000000-0005-0000-0000-000048060000}"/>
    <cellStyle name="40% - Accent3 8 3" xfId="1611" xr:uid="{00000000-0005-0000-0000-000049060000}"/>
    <cellStyle name="40% - Accent3 8 3 2" xfId="1612" xr:uid="{00000000-0005-0000-0000-00004A060000}"/>
    <cellStyle name="40% - Accent3 8 3 2 2" xfId="1613" xr:uid="{00000000-0005-0000-0000-00004B060000}"/>
    <cellStyle name="40% - Accent3 8 3 3" xfId="1614" xr:uid="{00000000-0005-0000-0000-00004C060000}"/>
    <cellStyle name="40% - Accent3 8 3 4" xfId="1615" xr:uid="{00000000-0005-0000-0000-00004D060000}"/>
    <cellStyle name="40% - Accent3 8 4" xfId="1616" xr:uid="{00000000-0005-0000-0000-00004E060000}"/>
    <cellStyle name="40% - Accent3 8 4 2" xfId="1617" xr:uid="{00000000-0005-0000-0000-00004F060000}"/>
    <cellStyle name="40% - Accent3 8 5" xfId="1618" xr:uid="{00000000-0005-0000-0000-000050060000}"/>
    <cellStyle name="40% - Accent3 8 6" xfId="1619" xr:uid="{00000000-0005-0000-0000-000051060000}"/>
    <cellStyle name="40% - Accent3 9" xfId="1620" xr:uid="{00000000-0005-0000-0000-000052060000}"/>
    <cellStyle name="40% - Accent3 9 2" xfId="1621" xr:uid="{00000000-0005-0000-0000-000053060000}"/>
    <cellStyle name="40% - Accent3 9 2 2" xfId="1622" xr:uid="{00000000-0005-0000-0000-000054060000}"/>
    <cellStyle name="40% - Accent3 9 2 2 2" xfId="1623" xr:uid="{00000000-0005-0000-0000-000055060000}"/>
    <cellStyle name="40% - Accent3 9 2 2 2 2" xfId="1624" xr:uid="{00000000-0005-0000-0000-000056060000}"/>
    <cellStyle name="40% - Accent3 9 2 2 3" xfId="1625" xr:uid="{00000000-0005-0000-0000-000057060000}"/>
    <cellStyle name="40% - Accent3 9 2 2 4" xfId="1626" xr:uid="{00000000-0005-0000-0000-000058060000}"/>
    <cellStyle name="40% - Accent3 9 2 3" xfId="1627" xr:uid="{00000000-0005-0000-0000-000059060000}"/>
    <cellStyle name="40% - Accent3 9 2 3 2" xfId="1628" xr:uid="{00000000-0005-0000-0000-00005A060000}"/>
    <cellStyle name="40% - Accent3 9 2 4" xfId="1629" xr:uid="{00000000-0005-0000-0000-00005B060000}"/>
    <cellStyle name="40% - Accent3 9 2 5" xfId="1630" xr:uid="{00000000-0005-0000-0000-00005C060000}"/>
    <cellStyle name="40% - Accent3 9 3" xfId="1631" xr:uid="{00000000-0005-0000-0000-00005D060000}"/>
    <cellStyle name="40% - Accent3 9 3 2" xfId="1632" xr:uid="{00000000-0005-0000-0000-00005E060000}"/>
    <cellStyle name="40% - Accent3 9 3 2 2" xfId="1633" xr:uid="{00000000-0005-0000-0000-00005F060000}"/>
    <cellStyle name="40% - Accent3 9 3 3" xfId="1634" xr:uid="{00000000-0005-0000-0000-000060060000}"/>
    <cellStyle name="40% - Accent3 9 3 4" xfId="1635" xr:uid="{00000000-0005-0000-0000-000061060000}"/>
    <cellStyle name="40% - Accent3 9 4" xfId="1636" xr:uid="{00000000-0005-0000-0000-000062060000}"/>
    <cellStyle name="40% - Accent3 9 4 2" xfId="1637" xr:uid="{00000000-0005-0000-0000-000063060000}"/>
    <cellStyle name="40% - Accent3 9 5" xfId="1638" xr:uid="{00000000-0005-0000-0000-000064060000}"/>
    <cellStyle name="40% - Accent3 9 6" xfId="1639" xr:uid="{00000000-0005-0000-0000-000065060000}"/>
    <cellStyle name="40% - Accent4 10" xfId="1640" xr:uid="{00000000-0005-0000-0000-000066060000}"/>
    <cellStyle name="40% - Accent4 10 2" xfId="1641" xr:uid="{00000000-0005-0000-0000-000067060000}"/>
    <cellStyle name="40% - Accent4 10 2 2" xfId="1642" xr:uid="{00000000-0005-0000-0000-000068060000}"/>
    <cellStyle name="40% - Accent4 10 2 2 2" xfId="1643" xr:uid="{00000000-0005-0000-0000-000069060000}"/>
    <cellStyle name="40% - Accent4 10 2 3" xfId="1644" xr:uid="{00000000-0005-0000-0000-00006A060000}"/>
    <cellStyle name="40% - Accent4 10 2 4" xfId="1645" xr:uid="{00000000-0005-0000-0000-00006B060000}"/>
    <cellStyle name="40% - Accent4 10 3" xfId="1646" xr:uid="{00000000-0005-0000-0000-00006C060000}"/>
    <cellStyle name="40% - Accent4 10 3 2" xfId="1647" xr:uid="{00000000-0005-0000-0000-00006D060000}"/>
    <cellStyle name="40% - Accent4 10 4" xfId="1648" xr:uid="{00000000-0005-0000-0000-00006E060000}"/>
    <cellStyle name="40% - Accent4 10 5" xfId="1649" xr:uid="{00000000-0005-0000-0000-00006F060000}"/>
    <cellStyle name="40% - Accent4 11" xfId="1650" xr:uid="{00000000-0005-0000-0000-000070060000}"/>
    <cellStyle name="40% - Accent4 11 2" xfId="1651" xr:uid="{00000000-0005-0000-0000-000071060000}"/>
    <cellStyle name="40% - Accent4 11 2 2" xfId="1652" xr:uid="{00000000-0005-0000-0000-000072060000}"/>
    <cellStyle name="40% - Accent4 11 2 2 2" xfId="1653" xr:uid="{00000000-0005-0000-0000-000073060000}"/>
    <cellStyle name="40% - Accent4 11 2 3" xfId="1654" xr:uid="{00000000-0005-0000-0000-000074060000}"/>
    <cellStyle name="40% - Accent4 11 2 4" xfId="1655" xr:uid="{00000000-0005-0000-0000-000075060000}"/>
    <cellStyle name="40% - Accent4 11 3" xfId="1656" xr:uid="{00000000-0005-0000-0000-000076060000}"/>
    <cellStyle name="40% - Accent4 11 3 2" xfId="1657" xr:uid="{00000000-0005-0000-0000-000077060000}"/>
    <cellStyle name="40% - Accent4 11 4" xfId="1658" xr:uid="{00000000-0005-0000-0000-000078060000}"/>
    <cellStyle name="40% - Accent4 11 5" xfId="1659" xr:uid="{00000000-0005-0000-0000-000079060000}"/>
    <cellStyle name="40% - Accent4 12" xfId="1660" xr:uid="{00000000-0005-0000-0000-00007A060000}"/>
    <cellStyle name="40% - Accent4 12 2" xfId="1661" xr:uid="{00000000-0005-0000-0000-00007B060000}"/>
    <cellStyle name="40% - Accent4 12 2 2" xfId="1662" xr:uid="{00000000-0005-0000-0000-00007C060000}"/>
    <cellStyle name="40% - Accent4 12 3" xfId="1663" xr:uid="{00000000-0005-0000-0000-00007D060000}"/>
    <cellStyle name="40% - Accent4 12 4" xfId="1664" xr:uid="{00000000-0005-0000-0000-00007E060000}"/>
    <cellStyle name="40% - Accent4 13" xfId="1665" xr:uid="{00000000-0005-0000-0000-00007F060000}"/>
    <cellStyle name="40% - Accent4 13 2" xfId="1666" xr:uid="{00000000-0005-0000-0000-000080060000}"/>
    <cellStyle name="40% - Accent4 14" xfId="1667" xr:uid="{00000000-0005-0000-0000-000081060000}"/>
    <cellStyle name="40% - Accent4 14 2" xfId="1668" xr:uid="{00000000-0005-0000-0000-000082060000}"/>
    <cellStyle name="40% - Accent4 15" xfId="1669" xr:uid="{00000000-0005-0000-0000-000083060000}"/>
    <cellStyle name="40% - Accent4 16" xfId="1670" xr:uid="{00000000-0005-0000-0000-000084060000}"/>
    <cellStyle name="40% - Accent4 2" xfId="1671" xr:uid="{00000000-0005-0000-0000-000085060000}"/>
    <cellStyle name="40% - Accent4 2 2" xfId="1672" xr:uid="{00000000-0005-0000-0000-000086060000}"/>
    <cellStyle name="40% - Accent4 2 2 2" xfId="1673" xr:uid="{00000000-0005-0000-0000-000087060000}"/>
    <cellStyle name="40% - Accent4 2 2 2 2" xfId="1674" xr:uid="{00000000-0005-0000-0000-000088060000}"/>
    <cellStyle name="40% - Accent4 2 2 2 2 2" xfId="1675" xr:uid="{00000000-0005-0000-0000-000089060000}"/>
    <cellStyle name="40% - Accent4 2 2 2 2 2 2" xfId="1676" xr:uid="{00000000-0005-0000-0000-00008A060000}"/>
    <cellStyle name="40% - Accent4 2 2 2 2 3" xfId="1677" xr:uid="{00000000-0005-0000-0000-00008B060000}"/>
    <cellStyle name="40% - Accent4 2 2 2 2 4" xfId="1678" xr:uid="{00000000-0005-0000-0000-00008C060000}"/>
    <cellStyle name="40% - Accent4 2 2 2 3" xfId="1679" xr:uid="{00000000-0005-0000-0000-00008D060000}"/>
    <cellStyle name="40% - Accent4 2 2 2 3 2" xfId="1680" xr:uid="{00000000-0005-0000-0000-00008E060000}"/>
    <cellStyle name="40% - Accent4 2 2 2 4" xfId="1681" xr:uid="{00000000-0005-0000-0000-00008F060000}"/>
    <cellStyle name="40% - Accent4 2 2 2 5" xfId="1682" xr:uid="{00000000-0005-0000-0000-000090060000}"/>
    <cellStyle name="40% - Accent4 2 2 3" xfId="1683" xr:uid="{00000000-0005-0000-0000-000091060000}"/>
    <cellStyle name="40% - Accent4 2 2 3 2" xfId="1684" xr:uid="{00000000-0005-0000-0000-000092060000}"/>
    <cellStyle name="40% - Accent4 2 2 3 2 2" xfId="1685" xr:uid="{00000000-0005-0000-0000-000093060000}"/>
    <cellStyle name="40% - Accent4 2 2 3 3" xfId="1686" xr:uid="{00000000-0005-0000-0000-000094060000}"/>
    <cellStyle name="40% - Accent4 2 2 3 4" xfId="1687" xr:uid="{00000000-0005-0000-0000-000095060000}"/>
    <cellStyle name="40% - Accent4 2 2 4" xfId="1688" xr:uid="{00000000-0005-0000-0000-000096060000}"/>
    <cellStyle name="40% - Accent4 2 2 4 2" xfId="1689" xr:uid="{00000000-0005-0000-0000-000097060000}"/>
    <cellStyle name="40% - Accent4 2 2 5" xfId="1690" xr:uid="{00000000-0005-0000-0000-000098060000}"/>
    <cellStyle name="40% - Accent4 2 2 5 2" xfId="1691" xr:uid="{00000000-0005-0000-0000-000099060000}"/>
    <cellStyle name="40% - Accent4 2 2 6" xfId="1692" xr:uid="{00000000-0005-0000-0000-00009A060000}"/>
    <cellStyle name="40% - Accent4 2 2 7" xfId="1693" xr:uid="{00000000-0005-0000-0000-00009B060000}"/>
    <cellStyle name="40% - Accent4 2 3" xfId="1694" xr:uid="{00000000-0005-0000-0000-00009C060000}"/>
    <cellStyle name="40% - Accent4 2 3 2" xfId="1695" xr:uid="{00000000-0005-0000-0000-00009D060000}"/>
    <cellStyle name="40% - Accent4 2 3 2 2" xfId="1696" xr:uid="{00000000-0005-0000-0000-00009E060000}"/>
    <cellStyle name="40% - Accent4 2 3 2 2 2" xfId="1697" xr:uid="{00000000-0005-0000-0000-00009F060000}"/>
    <cellStyle name="40% - Accent4 2 3 2 3" xfId="1698" xr:uid="{00000000-0005-0000-0000-0000A0060000}"/>
    <cellStyle name="40% - Accent4 2 3 2 4" xfId="1699" xr:uid="{00000000-0005-0000-0000-0000A1060000}"/>
    <cellStyle name="40% - Accent4 2 3 3" xfId="1700" xr:uid="{00000000-0005-0000-0000-0000A2060000}"/>
    <cellStyle name="40% - Accent4 2 3 3 2" xfId="1701" xr:uid="{00000000-0005-0000-0000-0000A3060000}"/>
    <cellStyle name="40% - Accent4 2 3 4" xfId="1702" xr:uid="{00000000-0005-0000-0000-0000A4060000}"/>
    <cellStyle name="40% - Accent4 2 3 5" xfId="1703" xr:uid="{00000000-0005-0000-0000-0000A5060000}"/>
    <cellStyle name="40% - Accent4 2 4" xfId="1704" xr:uid="{00000000-0005-0000-0000-0000A6060000}"/>
    <cellStyle name="40% - Accent4 2 4 2" xfId="1705" xr:uid="{00000000-0005-0000-0000-0000A7060000}"/>
    <cellStyle name="40% - Accent4 2 4 2 2" xfId="1706" xr:uid="{00000000-0005-0000-0000-0000A8060000}"/>
    <cellStyle name="40% - Accent4 2 4 3" xfId="1707" xr:uid="{00000000-0005-0000-0000-0000A9060000}"/>
    <cellStyle name="40% - Accent4 2 4 4" xfId="1708" xr:uid="{00000000-0005-0000-0000-0000AA060000}"/>
    <cellStyle name="40% - Accent4 2 5" xfId="1709" xr:uid="{00000000-0005-0000-0000-0000AB060000}"/>
    <cellStyle name="40% - Accent4 2 5 2" xfId="1710" xr:uid="{00000000-0005-0000-0000-0000AC060000}"/>
    <cellStyle name="40% - Accent4 2 6" xfId="1711" xr:uid="{00000000-0005-0000-0000-0000AD060000}"/>
    <cellStyle name="40% - Accent4 2 6 2" xfId="1712" xr:uid="{00000000-0005-0000-0000-0000AE060000}"/>
    <cellStyle name="40% - Accent4 2 7" xfId="1713" xr:uid="{00000000-0005-0000-0000-0000AF060000}"/>
    <cellStyle name="40% - Accent4 2 8" xfId="1714" xr:uid="{00000000-0005-0000-0000-0000B0060000}"/>
    <cellStyle name="40% - Accent4 3" xfId="1715" xr:uid="{00000000-0005-0000-0000-0000B1060000}"/>
    <cellStyle name="40% - Accent4 3 2" xfId="1716" xr:uid="{00000000-0005-0000-0000-0000B2060000}"/>
    <cellStyle name="40% - Accent4 4" xfId="1717" xr:uid="{00000000-0005-0000-0000-0000B3060000}"/>
    <cellStyle name="40% - Accent4 4 2" xfId="1718" xr:uid="{00000000-0005-0000-0000-0000B4060000}"/>
    <cellStyle name="40% - Accent4 4 2 2" xfId="1719" xr:uid="{00000000-0005-0000-0000-0000B5060000}"/>
    <cellStyle name="40% - Accent4 4 2 2 2" xfId="1720" xr:uid="{00000000-0005-0000-0000-0000B6060000}"/>
    <cellStyle name="40% - Accent4 4 2 2 2 2" xfId="1721" xr:uid="{00000000-0005-0000-0000-0000B7060000}"/>
    <cellStyle name="40% - Accent4 4 2 2 3" xfId="1722" xr:uid="{00000000-0005-0000-0000-0000B8060000}"/>
    <cellStyle name="40% - Accent4 4 2 2 4" xfId="1723" xr:uid="{00000000-0005-0000-0000-0000B9060000}"/>
    <cellStyle name="40% - Accent4 4 2 3" xfId="1724" xr:uid="{00000000-0005-0000-0000-0000BA060000}"/>
    <cellStyle name="40% - Accent4 4 2 3 2" xfId="1725" xr:uid="{00000000-0005-0000-0000-0000BB060000}"/>
    <cellStyle name="40% - Accent4 4 2 4" xfId="1726" xr:uid="{00000000-0005-0000-0000-0000BC060000}"/>
    <cellStyle name="40% - Accent4 4 2 5" xfId="1727" xr:uid="{00000000-0005-0000-0000-0000BD060000}"/>
    <cellStyle name="40% - Accent4 4 3" xfId="1728" xr:uid="{00000000-0005-0000-0000-0000BE060000}"/>
    <cellStyle name="40% - Accent4 4 3 2" xfId="1729" xr:uid="{00000000-0005-0000-0000-0000BF060000}"/>
    <cellStyle name="40% - Accent4 4 3 2 2" xfId="1730" xr:uid="{00000000-0005-0000-0000-0000C0060000}"/>
    <cellStyle name="40% - Accent4 4 3 3" xfId="1731" xr:uid="{00000000-0005-0000-0000-0000C1060000}"/>
    <cellStyle name="40% - Accent4 4 3 4" xfId="1732" xr:uid="{00000000-0005-0000-0000-0000C2060000}"/>
    <cellStyle name="40% - Accent4 4 4" xfId="1733" xr:uid="{00000000-0005-0000-0000-0000C3060000}"/>
    <cellStyle name="40% - Accent4 4 4 2" xfId="1734" xr:uid="{00000000-0005-0000-0000-0000C4060000}"/>
    <cellStyle name="40% - Accent4 4 5" xfId="1735" xr:uid="{00000000-0005-0000-0000-0000C5060000}"/>
    <cellStyle name="40% - Accent4 4 5 2" xfId="1736" xr:uid="{00000000-0005-0000-0000-0000C6060000}"/>
    <cellStyle name="40% - Accent4 4 6" xfId="1737" xr:uid="{00000000-0005-0000-0000-0000C7060000}"/>
    <cellStyle name="40% - Accent4 4 7" xfId="1738" xr:uid="{00000000-0005-0000-0000-0000C8060000}"/>
    <cellStyle name="40% - Accent4 5" xfId="1739" xr:uid="{00000000-0005-0000-0000-0000C9060000}"/>
    <cellStyle name="40% - Accent4 5 2" xfId="1740" xr:uid="{00000000-0005-0000-0000-0000CA060000}"/>
    <cellStyle name="40% - Accent4 5 2 2" xfId="1741" xr:uid="{00000000-0005-0000-0000-0000CB060000}"/>
    <cellStyle name="40% - Accent4 5 2 2 2" xfId="1742" xr:uid="{00000000-0005-0000-0000-0000CC060000}"/>
    <cellStyle name="40% - Accent4 5 2 2 2 2" xfId="1743" xr:uid="{00000000-0005-0000-0000-0000CD060000}"/>
    <cellStyle name="40% - Accent4 5 2 2 3" xfId="1744" xr:uid="{00000000-0005-0000-0000-0000CE060000}"/>
    <cellStyle name="40% - Accent4 5 2 2 4" xfId="1745" xr:uid="{00000000-0005-0000-0000-0000CF060000}"/>
    <cellStyle name="40% - Accent4 5 2 3" xfId="1746" xr:uid="{00000000-0005-0000-0000-0000D0060000}"/>
    <cellStyle name="40% - Accent4 5 2 3 2" xfId="1747" xr:uid="{00000000-0005-0000-0000-0000D1060000}"/>
    <cellStyle name="40% - Accent4 5 2 4" xfId="1748" xr:uid="{00000000-0005-0000-0000-0000D2060000}"/>
    <cellStyle name="40% - Accent4 5 2 5" xfId="1749" xr:uid="{00000000-0005-0000-0000-0000D3060000}"/>
    <cellStyle name="40% - Accent4 5 3" xfId="1750" xr:uid="{00000000-0005-0000-0000-0000D4060000}"/>
    <cellStyle name="40% - Accent4 5 3 2" xfId="1751" xr:uid="{00000000-0005-0000-0000-0000D5060000}"/>
    <cellStyle name="40% - Accent4 5 3 2 2" xfId="1752" xr:uid="{00000000-0005-0000-0000-0000D6060000}"/>
    <cellStyle name="40% - Accent4 5 3 3" xfId="1753" xr:uid="{00000000-0005-0000-0000-0000D7060000}"/>
    <cellStyle name="40% - Accent4 5 3 4" xfId="1754" xr:uid="{00000000-0005-0000-0000-0000D8060000}"/>
    <cellStyle name="40% - Accent4 5 4" xfId="1755" xr:uid="{00000000-0005-0000-0000-0000D9060000}"/>
    <cellStyle name="40% - Accent4 5 4 2" xfId="1756" xr:uid="{00000000-0005-0000-0000-0000DA060000}"/>
    <cellStyle name="40% - Accent4 5 5" xfId="1757" xr:uid="{00000000-0005-0000-0000-0000DB060000}"/>
    <cellStyle name="40% - Accent4 5 5 2" xfId="1758" xr:uid="{00000000-0005-0000-0000-0000DC060000}"/>
    <cellStyle name="40% - Accent4 5 6" xfId="1759" xr:uid="{00000000-0005-0000-0000-0000DD060000}"/>
    <cellStyle name="40% - Accent4 5 7" xfId="1760" xr:uid="{00000000-0005-0000-0000-0000DE060000}"/>
    <cellStyle name="40% - Accent4 6" xfId="1761" xr:uid="{00000000-0005-0000-0000-0000DF060000}"/>
    <cellStyle name="40% - Accent4 7" xfId="1762" xr:uid="{00000000-0005-0000-0000-0000E0060000}"/>
    <cellStyle name="40% - Accent4 7 2" xfId="1763" xr:uid="{00000000-0005-0000-0000-0000E1060000}"/>
    <cellStyle name="40% - Accent4 7 2 2" xfId="1764" xr:uid="{00000000-0005-0000-0000-0000E2060000}"/>
    <cellStyle name="40% - Accent4 7 2 2 2" xfId="1765" xr:uid="{00000000-0005-0000-0000-0000E3060000}"/>
    <cellStyle name="40% - Accent4 7 2 2 2 2" xfId="1766" xr:uid="{00000000-0005-0000-0000-0000E4060000}"/>
    <cellStyle name="40% - Accent4 7 2 2 3" xfId="1767" xr:uid="{00000000-0005-0000-0000-0000E5060000}"/>
    <cellStyle name="40% - Accent4 7 2 2 4" xfId="1768" xr:uid="{00000000-0005-0000-0000-0000E6060000}"/>
    <cellStyle name="40% - Accent4 7 2 3" xfId="1769" xr:uid="{00000000-0005-0000-0000-0000E7060000}"/>
    <cellStyle name="40% - Accent4 7 2 3 2" xfId="1770" xr:uid="{00000000-0005-0000-0000-0000E8060000}"/>
    <cellStyle name="40% - Accent4 7 2 4" xfId="1771" xr:uid="{00000000-0005-0000-0000-0000E9060000}"/>
    <cellStyle name="40% - Accent4 7 2 5" xfId="1772" xr:uid="{00000000-0005-0000-0000-0000EA060000}"/>
    <cellStyle name="40% - Accent4 7 3" xfId="1773" xr:uid="{00000000-0005-0000-0000-0000EB060000}"/>
    <cellStyle name="40% - Accent4 7 3 2" xfId="1774" xr:uid="{00000000-0005-0000-0000-0000EC060000}"/>
    <cellStyle name="40% - Accent4 7 3 2 2" xfId="1775" xr:uid="{00000000-0005-0000-0000-0000ED060000}"/>
    <cellStyle name="40% - Accent4 7 3 3" xfId="1776" xr:uid="{00000000-0005-0000-0000-0000EE060000}"/>
    <cellStyle name="40% - Accent4 7 3 4" xfId="1777" xr:uid="{00000000-0005-0000-0000-0000EF060000}"/>
    <cellStyle name="40% - Accent4 7 4" xfId="1778" xr:uid="{00000000-0005-0000-0000-0000F0060000}"/>
    <cellStyle name="40% - Accent4 7 4 2" xfId="1779" xr:uid="{00000000-0005-0000-0000-0000F1060000}"/>
    <cellStyle name="40% - Accent4 7 5" xfId="1780" xr:uid="{00000000-0005-0000-0000-0000F2060000}"/>
    <cellStyle name="40% - Accent4 7 6" xfId="1781" xr:uid="{00000000-0005-0000-0000-0000F3060000}"/>
    <cellStyle name="40% - Accent4 8" xfId="1782" xr:uid="{00000000-0005-0000-0000-0000F4060000}"/>
    <cellStyle name="40% - Accent4 8 2" xfId="1783" xr:uid="{00000000-0005-0000-0000-0000F5060000}"/>
    <cellStyle name="40% - Accent4 8 2 2" xfId="1784" xr:uid="{00000000-0005-0000-0000-0000F6060000}"/>
    <cellStyle name="40% - Accent4 8 2 2 2" xfId="1785" xr:uid="{00000000-0005-0000-0000-0000F7060000}"/>
    <cellStyle name="40% - Accent4 8 2 2 2 2" xfId="1786" xr:uid="{00000000-0005-0000-0000-0000F8060000}"/>
    <cellStyle name="40% - Accent4 8 2 2 3" xfId="1787" xr:uid="{00000000-0005-0000-0000-0000F9060000}"/>
    <cellStyle name="40% - Accent4 8 2 2 4" xfId="1788" xr:uid="{00000000-0005-0000-0000-0000FA060000}"/>
    <cellStyle name="40% - Accent4 8 2 3" xfId="1789" xr:uid="{00000000-0005-0000-0000-0000FB060000}"/>
    <cellStyle name="40% - Accent4 8 2 3 2" xfId="1790" xr:uid="{00000000-0005-0000-0000-0000FC060000}"/>
    <cellStyle name="40% - Accent4 8 2 4" xfId="1791" xr:uid="{00000000-0005-0000-0000-0000FD060000}"/>
    <cellStyle name="40% - Accent4 8 2 5" xfId="1792" xr:uid="{00000000-0005-0000-0000-0000FE060000}"/>
    <cellStyle name="40% - Accent4 8 3" xfId="1793" xr:uid="{00000000-0005-0000-0000-0000FF060000}"/>
    <cellStyle name="40% - Accent4 8 3 2" xfId="1794" xr:uid="{00000000-0005-0000-0000-000000070000}"/>
    <cellStyle name="40% - Accent4 8 3 2 2" xfId="1795" xr:uid="{00000000-0005-0000-0000-000001070000}"/>
    <cellStyle name="40% - Accent4 8 3 3" xfId="1796" xr:uid="{00000000-0005-0000-0000-000002070000}"/>
    <cellStyle name="40% - Accent4 8 3 4" xfId="1797" xr:uid="{00000000-0005-0000-0000-000003070000}"/>
    <cellStyle name="40% - Accent4 8 4" xfId="1798" xr:uid="{00000000-0005-0000-0000-000004070000}"/>
    <cellStyle name="40% - Accent4 8 4 2" xfId="1799" xr:uid="{00000000-0005-0000-0000-000005070000}"/>
    <cellStyle name="40% - Accent4 8 5" xfId="1800" xr:uid="{00000000-0005-0000-0000-000006070000}"/>
    <cellStyle name="40% - Accent4 8 6" xfId="1801" xr:uid="{00000000-0005-0000-0000-000007070000}"/>
    <cellStyle name="40% - Accent4 9" xfId="1802" xr:uid="{00000000-0005-0000-0000-000008070000}"/>
    <cellStyle name="40% - Accent4 9 2" xfId="1803" xr:uid="{00000000-0005-0000-0000-000009070000}"/>
    <cellStyle name="40% - Accent4 9 2 2" xfId="1804" xr:uid="{00000000-0005-0000-0000-00000A070000}"/>
    <cellStyle name="40% - Accent4 9 2 2 2" xfId="1805" xr:uid="{00000000-0005-0000-0000-00000B070000}"/>
    <cellStyle name="40% - Accent4 9 2 2 2 2" xfId="1806" xr:uid="{00000000-0005-0000-0000-00000C070000}"/>
    <cellStyle name="40% - Accent4 9 2 2 3" xfId="1807" xr:uid="{00000000-0005-0000-0000-00000D070000}"/>
    <cellStyle name="40% - Accent4 9 2 2 4" xfId="1808" xr:uid="{00000000-0005-0000-0000-00000E070000}"/>
    <cellStyle name="40% - Accent4 9 2 3" xfId="1809" xr:uid="{00000000-0005-0000-0000-00000F070000}"/>
    <cellStyle name="40% - Accent4 9 2 3 2" xfId="1810" xr:uid="{00000000-0005-0000-0000-000010070000}"/>
    <cellStyle name="40% - Accent4 9 2 4" xfId="1811" xr:uid="{00000000-0005-0000-0000-000011070000}"/>
    <cellStyle name="40% - Accent4 9 2 5" xfId="1812" xr:uid="{00000000-0005-0000-0000-000012070000}"/>
    <cellStyle name="40% - Accent4 9 3" xfId="1813" xr:uid="{00000000-0005-0000-0000-000013070000}"/>
    <cellStyle name="40% - Accent4 9 3 2" xfId="1814" xr:uid="{00000000-0005-0000-0000-000014070000}"/>
    <cellStyle name="40% - Accent4 9 3 2 2" xfId="1815" xr:uid="{00000000-0005-0000-0000-000015070000}"/>
    <cellStyle name="40% - Accent4 9 3 3" xfId="1816" xr:uid="{00000000-0005-0000-0000-000016070000}"/>
    <cellStyle name="40% - Accent4 9 3 4" xfId="1817" xr:uid="{00000000-0005-0000-0000-000017070000}"/>
    <cellStyle name="40% - Accent4 9 4" xfId="1818" xr:uid="{00000000-0005-0000-0000-000018070000}"/>
    <cellStyle name="40% - Accent4 9 4 2" xfId="1819" xr:uid="{00000000-0005-0000-0000-000019070000}"/>
    <cellStyle name="40% - Accent4 9 5" xfId="1820" xr:uid="{00000000-0005-0000-0000-00001A070000}"/>
    <cellStyle name="40% - Accent4 9 6" xfId="1821" xr:uid="{00000000-0005-0000-0000-00001B070000}"/>
    <cellStyle name="40% - Accent5 10" xfId="1822" xr:uid="{00000000-0005-0000-0000-00001C070000}"/>
    <cellStyle name="40% - Accent5 10 2" xfId="1823" xr:uid="{00000000-0005-0000-0000-00001D070000}"/>
    <cellStyle name="40% - Accent5 10 2 2" xfId="1824" xr:uid="{00000000-0005-0000-0000-00001E070000}"/>
    <cellStyle name="40% - Accent5 10 2 2 2" xfId="1825" xr:uid="{00000000-0005-0000-0000-00001F070000}"/>
    <cellStyle name="40% - Accent5 10 2 3" xfId="1826" xr:uid="{00000000-0005-0000-0000-000020070000}"/>
    <cellStyle name="40% - Accent5 10 2 4" xfId="1827" xr:uid="{00000000-0005-0000-0000-000021070000}"/>
    <cellStyle name="40% - Accent5 10 3" xfId="1828" xr:uid="{00000000-0005-0000-0000-000022070000}"/>
    <cellStyle name="40% - Accent5 10 3 2" xfId="1829" xr:uid="{00000000-0005-0000-0000-000023070000}"/>
    <cellStyle name="40% - Accent5 10 4" xfId="1830" xr:uid="{00000000-0005-0000-0000-000024070000}"/>
    <cellStyle name="40% - Accent5 10 5" xfId="1831" xr:uid="{00000000-0005-0000-0000-000025070000}"/>
    <cellStyle name="40% - Accent5 11" xfId="1832" xr:uid="{00000000-0005-0000-0000-000026070000}"/>
    <cellStyle name="40% - Accent5 11 2" xfId="1833" xr:uid="{00000000-0005-0000-0000-000027070000}"/>
    <cellStyle name="40% - Accent5 11 2 2" xfId="1834" xr:uid="{00000000-0005-0000-0000-000028070000}"/>
    <cellStyle name="40% - Accent5 11 2 2 2" xfId="1835" xr:uid="{00000000-0005-0000-0000-000029070000}"/>
    <cellStyle name="40% - Accent5 11 2 3" xfId="1836" xr:uid="{00000000-0005-0000-0000-00002A070000}"/>
    <cellStyle name="40% - Accent5 11 2 4" xfId="1837" xr:uid="{00000000-0005-0000-0000-00002B070000}"/>
    <cellStyle name="40% - Accent5 11 3" xfId="1838" xr:uid="{00000000-0005-0000-0000-00002C070000}"/>
    <cellStyle name="40% - Accent5 11 3 2" xfId="1839" xr:uid="{00000000-0005-0000-0000-00002D070000}"/>
    <cellStyle name="40% - Accent5 11 4" xfId="1840" xr:uid="{00000000-0005-0000-0000-00002E070000}"/>
    <cellStyle name="40% - Accent5 11 5" xfId="1841" xr:uid="{00000000-0005-0000-0000-00002F070000}"/>
    <cellStyle name="40% - Accent5 12" xfId="1842" xr:uid="{00000000-0005-0000-0000-000030070000}"/>
    <cellStyle name="40% - Accent5 12 2" xfId="1843" xr:uid="{00000000-0005-0000-0000-000031070000}"/>
    <cellStyle name="40% - Accent5 12 2 2" xfId="1844" xr:uid="{00000000-0005-0000-0000-000032070000}"/>
    <cellStyle name="40% - Accent5 12 3" xfId="1845" xr:uid="{00000000-0005-0000-0000-000033070000}"/>
    <cellStyle name="40% - Accent5 12 4" xfId="1846" xr:uid="{00000000-0005-0000-0000-000034070000}"/>
    <cellStyle name="40% - Accent5 13" xfId="1847" xr:uid="{00000000-0005-0000-0000-000035070000}"/>
    <cellStyle name="40% - Accent5 13 2" xfId="1848" xr:uid="{00000000-0005-0000-0000-000036070000}"/>
    <cellStyle name="40% - Accent5 14" xfId="1849" xr:uid="{00000000-0005-0000-0000-000037070000}"/>
    <cellStyle name="40% - Accent5 14 2" xfId="1850" xr:uid="{00000000-0005-0000-0000-000038070000}"/>
    <cellStyle name="40% - Accent5 15" xfId="1851" xr:uid="{00000000-0005-0000-0000-000039070000}"/>
    <cellStyle name="40% - Accent5 16" xfId="1852" xr:uid="{00000000-0005-0000-0000-00003A070000}"/>
    <cellStyle name="40% - Accent5 2" xfId="1853" xr:uid="{00000000-0005-0000-0000-00003B070000}"/>
    <cellStyle name="40% - Accent5 2 2" xfId="1854" xr:uid="{00000000-0005-0000-0000-00003C070000}"/>
    <cellStyle name="40% - Accent5 2 2 2" xfId="1855" xr:uid="{00000000-0005-0000-0000-00003D070000}"/>
    <cellStyle name="40% - Accent5 2 2 2 2" xfId="1856" xr:uid="{00000000-0005-0000-0000-00003E070000}"/>
    <cellStyle name="40% - Accent5 2 2 2 2 2" xfId="1857" xr:uid="{00000000-0005-0000-0000-00003F070000}"/>
    <cellStyle name="40% - Accent5 2 2 2 2 2 2" xfId="1858" xr:uid="{00000000-0005-0000-0000-000040070000}"/>
    <cellStyle name="40% - Accent5 2 2 2 2 3" xfId="1859" xr:uid="{00000000-0005-0000-0000-000041070000}"/>
    <cellStyle name="40% - Accent5 2 2 2 2 4" xfId="1860" xr:uid="{00000000-0005-0000-0000-000042070000}"/>
    <cellStyle name="40% - Accent5 2 2 2 3" xfId="1861" xr:uid="{00000000-0005-0000-0000-000043070000}"/>
    <cellStyle name="40% - Accent5 2 2 2 3 2" xfId="1862" xr:uid="{00000000-0005-0000-0000-000044070000}"/>
    <cellStyle name="40% - Accent5 2 2 2 4" xfId="1863" xr:uid="{00000000-0005-0000-0000-000045070000}"/>
    <cellStyle name="40% - Accent5 2 2 2 5" xfId="1864" xr:uid="{00000000-0005-0000-0000-000046070000}"/>
    <cellStyle name="40% - Accent5 2 2 3" xfId="1865" xr:uid="{00000000-0005-0000-0000-000047070000}"/>
    <cellStyle name="40% - Accent5 2 2 3 2" xfId="1866" xr:uid="{00000000-0005-0000-0000-000048070000}"/>
    <cellStyle name="40% - Accent5 2 2 3 2 2" xfId="1867" xr:uid="{00000000-0005-0000-0000-000049070000}"/>
    <cellStyle name="40% - Accent5 2 2 3 3" xfId="1868" xr:uid="{00000000-0005-0000-0000-00004A070000}"/>
    <cellStyle name="40% - Accent5 2 2 3 4" xfId="1869" xr:uid="{00000000-0005-0000-0000-00004B070000}"/>
    <cellStyle name="40% - Accent5 2 2 4" xfId="1870" xr:uid="{00000000-0005-0000-0000-00004C070000}"/>
    <cellStyle name="40% - Accent5 2 2 4 2" xfId="1871" xr:uid="{00000000-0005-0000-0000-00004D070000}"/>
    <cellStyle name="40% - Accent5 2 2 5" xfId="1872" xr:uid="{00000000-0005-0000-0000-00004E070000}"/>
    <cellStyle name="40% - Accent5 2 2 5 2" xfId="1873" xr:uid="{00000000-0005-0000-0000-00004F070000}"/>
    <cellStyle name="40% - Accent5 2 2 6" xfId="1874" xr:uid="{00000000-0005-0000-0000-000050070000}"/>
    <cellStyle name="40% - Accent5 2 2 7" xfId="1875" xr:uid="{00000000-0005-0000-0000-000051070000}"/>
    <cellStyle name="40% - Accent5 2 3" xfId="1876" xr:uid="{00000000-0005-0000-0000-000052070000}"/>
    <cellStyle name="40% - Accent5 2 3 2" xfId="1877" xr:uid="{00000000-0005-0000-0000-000053070000}"/>
    <cellStyle name="40% - Accent5 2 3 2 2" xfId="1878" xr:uid="{00000000-0005-0000-0000-000054070000}"/>
    <cellStyle name="40% - Accent5 2 3 2 2 2" xfId="1879" xr:uid="{00000000-0005-0000-0000-000055070000}"/>
    <cellStyle name="40% - Accent5 2 3 2 3" xfId="1880" xr:uid="{00000000-0005-0000-0000-000056070000}"/>
    <cellStyle name="40% - Accent5 2 3 2 4" xfId="1881" xr:uid="{00000000-0005-0000-0000-000057070000}"/>
    <cellStyle name="40% - Accent5 2 3 3" xfId="1882" xr:uid="{00000000-0005-0000-0000-000058070000}"/>
    <cellStyle name="40% - Accent5 2 3 3 2" xfId="1883" xr:uid="{00000000-0005-0000-0000-000059070000}"/>
    <cellStyle name="40% - Accent5 2 3 4" xfId="1884" xr:uid="{00000000-0005-0000-0000-00005A070000}"/>
    <cellStyle name="40% - Accent5 2 3 5" xfId="1885" xr:uid="{00000000-0005-0000-0000-00005B070000}"/>
    <cellStyle name="40% - Accent5 2 4" xfId="1886" xr:uid="{00000000-0005-0000-0000-00005C070000}"/>
    <cellStyle name="40% - Accent5 2 4 2" xfId="1887" xr:uid="{00000000-0005-0000-0000-00005D070000}"/>
    <cellStyle name="40% - Accent5 2 4 2 2" xfId="1888" xr:uid="{00000000-0005-0000-0000-00005E070000}"/>
    <cellStyle name="40% - Accent5 2 4 3" xfId="1889" xr:uid="{00000000-0005-0000-0000-00005F070000}"/>
    <cellStyle name="40% - Accent5 2 4 4" xfId="1890" xr:uid="{00000000-0005-0000-0000-000060070000}"/>
    <cellStyle name="40% - Accent5 2 5" xfId="1891" xr:uid="{00000000-0005-0000-0000-000061070000}"/>
    <cellStyle name="40% - Accent5 2 5 2" xfId="1892" xr:uid="{00000000-0005-0000-0000-000062070000}"/>
    <cellStyle name="40% - Accent5 2 6" xfId="1893" xr:uid="{00000000-0005-0000-0000-000063070000}"/>
    <cellStyle name="40% - Accent5 2 6 2" xfId="1894" xr:uid="{00000000-0005-0000-0000-000064070000}"/>
    <cellStyle name="40% - Accent5 2 7" xfId="1895" xr:uid="{00000000-0005-0000-0000-000065070000}"/>
    <cellStyle name="40% - Accent5 2 8" xfId="1896" xr:uid="{00000000-0005-0000-0000-000066070000}"/>
    <cellStyle name="40% - Accent5 3" xfId="1897" xr:uid="{00000000-0005-0000-0000-000067070000}"/>
    <cellStyle name="40% - Accent5 3 2" xfId="1898" xr:uid="{00000000-0005-0000-0000-000068070000}"/>
    <cellStyle name="40% - Accent5 4" xfId="1899" xr:uid="{00000000-0005-0000-0000-000069070000}"/>
    <cellStyle name="40% - Accent5 4 2" xfId="1900" xr:uid="{00000000-0005-0000-0000-00006A070000}"/>
    <cellStyle name="40% - Accent5 4 2 2" xfId="1901" xr:uid="{00000000-0005-0000-0000-00006B070000}"/>
    <cellStyle name="40% - Accent5 4 2 2 2" xfId="1902" xr:uid="{00000000-0005-0000-0000-00006C070000}"/>
    <cellStyle name="40% - Accent5 4 2 2 2 2" xfId="1903" xr:uid="{00000000-0005-0000-0000-00006D070000}"/>
    <cellStyle name="40% - Accent5 4 2 2 3" xfId="1904" xr:uid="{00000000-0005-0000-0000-00006E070000}"/>
    <cellStyle name="40% - Accent5 4 2 2 4" xfId="1905" xr:uid="{00000000-0005-0000-0000-00006F070000}"/>
    <cellStyle name="40% - Accent5 4 2 3" xfId="1906" xr:uid="{00000000-0005-0000-0000-000070070000}"/>
    <cellStyle name="40% - Accent5 4 2 3 2" xfId="1907" xr:uid="{00000000-0005-0000-0000-000071070000}"/>
    <cellStyle name="40% - Accent5 4 2 4" xfId="1908" xr:uid="{00000000-0005-0000-0000-000072070000}"/>
    <cellStyle name="40% - Accent5 4 2 5" xfId="1909" xr:uid="{00000000-0005-0000-0000-000073070000}"/>
    <cellStyle name="40% - Accent5 4 3" xfId="1910" xr:uid="{00000000-0005-0000-0000-000074070000}"/>
    <cellStyle name="40% - Accent5 4 3 2" xfId="1911" xr:uid="{00000000-0005-0000-0000-000075070000}"/>
    <cellStyle name="40% - Accent5 4 3 2 2" xfId="1912" xr:uid="{00000000-0005-0000-0000-000076070000}"/>
    <cellStyle name="40% - Accent5 4 3 3" xfId="1913" xr:uid="{00000000-0005-0000-0000-000077070000}"/>
    <cellStyle name="40% - Accent5 4 3 4" xfId="1914" xr:uid="{00000000-0005-0000-0000-000078070000}"/>
    <cellStyle name="40% - Accent5 4 4" xfId="1915" xr:uid="{00000000-0005-0000-0000-000079070000}"/>
    <cellStyle name="40% - Accent5 4 4 2" xfId="1916" xr:uid="{00000000-0005-0000-0000-00007A070000}"/>
    <cellStyle name="40% - Accent5 4 5" xfId="1917" xr:uid="{00000000-0005-0000-0000-00007B070000}"/>
    <cellStyle name="40% - Accent5 4 5 2" xfId="1918" xr:uid="{00000000-0005-0000-0000-00007C070000}"/>
    <cellStyle name="40% - Accent5 4 6" xfId="1919" xr:uid="{00000000-0005-0000-0000-00007D070000}"/>
    <cellStyle name="40% - Accent5 4 7" xfId="1920" xr:uid="{00000000-0005-0000-0000-00007E070000}"/>
    <cellStyle name="40% - Accent5 5" xfId="1921" xr:uid="{00000000-0005-0000-0000-00007F070000}"/>
    <cellStyle name="40% - Accent5 5 2" xfId="1922" xr:uid="{00000000-0005-0000-0000-000080070000}"/>
    <cellStyle name="40% - Accent5 5 2 2" xfId="1923" xr:uid="{00000000-0005-0000-0000-000081070000}"/>
    <cellStyle name="40% - Accent5 5 2 2 2" xfId="1924" xr:uid="{00000000-0005-0000-0000-000082070000}"/>
    <cellStyle name="40% - Accent5 5 2 2 2 2" xfId="1925" xr:uid="{00000000-0005-0000-0000-000083070000}"/>
    <cellStyle name="40% - Accent5 5 2 2 3" xfId="1926" xr:uid="{00000000-0005-0000-0000-000084070000}"/>
    <cellStyle name="40% - Accent5 5 2 2 4" xfId="1927" xr:uid="{00000000-0005-0000-0000-000085070000}"/>
    <cellStyle name="40% - Accent5 5 2 3" xfId="1928" xr:uid="{00000000-0005-0000-0000-000086070000}"/>
    <cellStyle name="40% - Accent5 5 2 3 2" xfId="1929" xr:uid="{00000000-0005-0000-0000-000087070000}"/>
    <cellStyle name="40% - Accent5 5 2 4" xfId="1930" xr:uid="{00000000-0005-0000-0000-000088070000}"/>
    <cellStyle name="40% - Accent5 5 2 5" xfId="1931" xr:uid="{00000000-0005-0000-0000-000089070000}"/>
    <cellStyle name="40% - Accent5 5 3" xfId="1932" xr:uid="{00000000-0005-0000-0000-00008A070000}"/>
    <cellStyle name="40% - Accent5 5 3 2" xfId="1933" xr:uid="{00000000-0005-0000-0000-00008B070000}"/>
    <cellStyle name="40% - Accent5 5 3 2 2" xfId="1934" xr:uid="{00000000-0005-0000-0000-00008C070000}"/>
    <cellStyle name="40% - Accent5 5 3 3" xfId="1935" xr:uid="{00000000-0005-0000-0000-00008D070000}"/>
    <cellStyle name="40% - Accent5 5 3 4" xfId="1936" xr:uid="{00000000-0005-0000-0000-00008E070000}"/>
    <cellStyle name="40% - Accent5 5 4" xfId="1937" xr:uid="{00000000-0005-0000-0000-00008F070000}"/>
    <cellStyle name="40% - Accent5 5 4 2" xfId="1938" xr:uid="{00000000-0005-0000-0000-000090070000}"/>
    <cellStyle name="40% - Accent5 5 5" xfId="1939" xr:uid="{00000000-0005-0000-0000-000091070000}"/>
    <cellStyle name="40% - Accent5 5 5 2" xfId="1940" xr:uid="{00000000-0005-0000-0000-000092070000}"/>
    <cellStyle name="40% - Accent5 5 6" xfId="1941" xr:uid="{00000000-0005-0000-0000-000093070000}"/>
    <cellStyle name="40% - Accent5 5 7" xfId="1942" xr:uid="{00000000-0005-0000-0000-000094070000}"/>
    <cellStyle name="40% - Accent5 6" xfId="1943" xr:uid="{00000000-0005-0000-0000-000095070000}"/>
    <cellStyle name="40% - Accent5 7" xfId="1944" xr:uid="{00000000-0005-0000-0000-000096070000}"/>
    <cellStyle name="40% - Accent5 7 2" xfId="1945" xr:uid="{00000000-0005-0000-0000-000097070000}"/>
    <cellStyle name="40% - Accent5 7 2 2" xfId="1946" xr:uid="{00000000-0005-0000-0000-000098070000}"/>
    <cellStyle name="40% - Accent5 7 2 2 2" xfId="1947" xr:uid="{00000000-0005-0000-0000-000099070000}"/>
    <cellStyle name="40% - Accent5 7 2 2 2 2" xfId="1948" xr:uid="{00000000-0005-0000-0000-00009A070000}"/>
    <cellStyle name="40% - Accent5 7 2 2 3" xfId="1949" xr:uid="{00000000-0005-0000-0000-00009B070000}"/>
    <cellStyle name="40% - Accent5 7 2 2 4" xfId="1950" xr:uid="{00000000-0005-0000-0000-00009C070000}"/>
    <cellStyle name="40% - Accent5 7 2 3" xfId="1951" xr:uid="{00000000-0005-0000-0000-00009D070000}"/>
    <cellStyle name="40% - Accent5 7 2 3 2" xfId="1952" xr:uid="{00000000-0005-0000-0000-00009E070000}"/>
    <cellStyle name="40% - Accent5 7 2 4" xfId="1953" xr:uid="{00000000-0005-0000-0000-00009F070000}"/>
    <cellStyle name="40% - Accent5 7 2 5" xfId="1954" xr:uid="{00000000-0005-0000-0000-0000A0070000}"/>
    <cellStyle name="40% - Accent5 7 3" xfId="1955" xr:uid="{00000000-0005-0000-0000-0000A1070000}"/>
    <cellStyle name="40% - Accent5 7 3 2" xfId="1956" xr:uid="{00000000-0005-0000-0000-0000A2070000}"/>
    <cellStyle name="40% - Accent5 7 3 2 2" xfId="1957" xr:uid="{00000000-0005-0000-0000-0000A3070000}"/>
    <cellStyle name="40% - Accent5 7 3 3" xfId="1958" xr:uid="{00000000-0005-0000-0000-0000A4070000}"/>
    <cellStyle name="40% - Accent5 7 3 4" xfId="1959" xr:uid="{00000000-0005-0000-0000-0000A5070000}"/>
    <cellStyle name="40% - Accent5 7 4" xfId="1960" xr:uid="{00000000-0005-0000-0000-0000A6070000}"/>
    <cellStyle name="40% - Accent5 7 4 2" xfId="1961" xr:uid="{00000000-0005-0000-0000-0000A7070000}"/>
    <cellStyle name="40% - Accent5 7 5" xfId="1962" xr:uid="{00000000-0005-0000-0000-0000A8070000}"/>
    <cellStyle name="40% - Accent5 7 6" xfId="1963" xr:uid="{00000000-0005-0000-0000-0000A9070000}"/>
    <cellStyle name="40% - Accent5 8" xfId="1964" xr:uid="{00000000-0005-0000-0000-0000AA070000}"/>
    <cellStyle name="40% - Accent5 8 2" xfId="1965" xr:uid="{00000000-0005-0000-0000-0000AB070000}"/>
    <cellStyle name="40% - Accent5 8 2 2" xfId="1966" xr:uid="{00000000-0005-0000-0000-0000AC070000}"/>
    <cellStyle name="40% - Accent5 8 2 2 2" xfId="1967" xr:uid="{00000000-0005-0000-0000-0000AD070000}"/>
    <cellStyle name="40% - Accent5 8 2 2 2 2" xfId="1968" xr:uid="{00000000-0005-0000-0000-0000AE070000}"/>
    <cellStyle name="40% - Accent5 8 2 2 3" xfId="1969" xr:uid="{00000000-0005-0000-0000-0000AF070000}"/>
    <cellStyle name="40% - Accent5 8 2 2 4" xfId="1970" xr:uid="{00000000-0005-0000-0000-0000B0070000}"/>
    <cellStyle name="40% - Accent5 8 2 3" xfId="1971" xr:uid="{00000000-0005-0000-0000-0000B1070000}"/>
    <cellStyle name="40% - Accent5 8 2 3 2" xfId="1972" xr:uid="{00000000-0005-0000-0000-0000B2070000}"/>
    <cellStyle name="40% - Accent5 8 2 4" xfId="1973" xr:uid="{00000000-0005-0000-0000-0000B3070000}"/>
    <cellStyle name="40% - Accent5 8 2 5" xfId="1974" xr:uid="{00000000-0005-0000-0000-0000B4070000}"/>
    <cellStyle name="40% - Accent5 8 3" xfId="1975" xr:uid="{00000000-0005-0000-0000-0000B5070000}"/>
    <cellStyle name="40% - Accent5 8 3 2" xfId="1976" xr:uid="{00000000-0005-0000-0000-0000B6070000}"/>
    <cellStyle name="40% - Accent5 8 3 2 2" xfId="1977" xr:uid="{00000000-0005-0000-0000-0000B7070000}"/>
    <cellStyle name="40% - Accent5 8 3 3" xfId="1978" xr:uid="{00000000-0005-0000-0000-0000B8070000}"/>
    <cellStyle name="40% - Accent5 8 3 4" xfId="1979" xr:uid="{00000000-0005-0000-0000-0000B9070000}"/>
    <cellStyle name="40% - Accent5 8 4" xfId="1980" xr:uid="{00000000-0005-0000-0000-0000BA070000}"/>
    <cellStyle name="40% - Accent5 8 4 2" xfId="1981" xr:uid="{00000000-0005-0000-0000-0000BB070000}"/>
    <cellStyle name="40% - Accent5 8 5" xfId="1982" xr:uid="{00000000-0005-0000-0000-0000BC070000}"/>
    <cellStyle name="40% - Accent5 8 6" xfId="1983" xr:uid="{00000000-0005-0000-0000-0000BD070000}"/>
    <cellStyle name="40% - Accent5 9" xfId="1984" xr:uid="{00000000-0005-0000-0000-0000BE070000}"/>
    <cellStyle name="40% - Accent5 9 2" xfId="1985" xr:uid="{00000000-0005-0000-0000-0000BF070000}"/>
    <cellStyle name="40% - Accent5 9 2 2" xfId="1986" xr:uid="{00000000-0005-0000-0000-0000C0070000}"/>
    <cellStyle name="40% - Accent5 9 2 2 2" xfId="1987" xr:uid="{00000000-0005-0000-0000-0000C1070000}"/>
    <cellStyle name="40% - Accent5 9 2 2 2 2" xfId="1988" xr:uid="{00000000-0005-0000-0000-0000C2070000}"/>
    <cellStyle name="40% - Accent5 9 2 2 3" xfId="1989" xr:uid="{00000000-0005-0000-0000-0000C3070000}"/>
    <cellStyle name="40% - Accent5 9 2 2 4" xfId="1990" xr:uid="{00000000-0005-0000-0000-0000C4070000}"/>
    <cellStyle name="40% - Accent5 9 2 3" xfId="1991" xr:uid="{00000000-0005-0000-0000-0000C5070000}"/>
    <cellStyle name="40% - Accent5 9 2 3 2" xfId="1992" xr:uid="{00000000-0005-0000-0000-0000C6070000}"/>
    <cellStyle name="40% - Accent5 9 2 4" xfId="1993" xr:uid="{00000000-0005-0000-0000-0000C7070000}"/>
    <cellStyle name="40% - Accent5 9 2 5" xfId="1994" xr:uid="{00000000-0005-0000-0000-0000C8070000}"/>
    <cellStyle name="40% - Accent5 9 3" xfId="1995" xr:uid="{00000000-0005-0000-0000-0000C9070000}"/>
    <cellStyle name="40% - Accent5 9 3 2" xfId="1996" xr:uid="{00000000-0005-0000-0000-0000CA070000}"/>
    <cellStyle name="40% - Accent5 9 3 2 2" xfId="1997" xr:uid="{00000000-0005-0000-0000-0000CB070000}"/>
    <cellStyle name="40% - Accent5 9 3 3" xfId="1998" xr:uid="{00000000-0005-0000-0000-0000CC070000}"/>
    <cellStyle name="40% - Accent5 9 3 4" xfId="1999" xr:uid="{00000000-0005-0000-0000-0000CD070000}"/>
    <cellStyle name="40% - Accent5 9 4" xfId="2000" xr:uid="{00000000-0005-0000-0000-0000CE070000}"/>
    <cellStyle name="40% - Accent5 9 4 2" xfId="2001" xr:uid="{00000000-0005-0000-0000-0000CF070000}"/>
    <cellStyle name="40% - Accent5 9 5" xfId="2002" xr:uid="{00000000-0005-0000-0000-0000D0070000}"/>
    <cellStyle name="40% - Accent5 9 6" xfId="2003" xr:uid="{00000000-0005-0000-0000-0000D1070000}"/>
    <cellStyle name="40% - Accent6 10" xfId="2004" xr:uid="{00000000-0005-0000-0000-0000D2070000}"/>
    <cellStyle name="40% - Accent6 10 2" xfId="2005" xr:uid="{00000000-0005-0000-0000-0000D3070000}"/>
    <cellStyle name="40% - Accent6 10 2 2" xfId="2006" xr:uid="{00000000-0005-0000-0000-0000D4070000}"/>
    <cellStyle name="40% - Accent6 10 2 2 2" xfId="2007" xr:uid="{00000000-0005-0000-0000-0000D5070000}"/>
    <cellStyle name="40% - Accent6 10 2 3" xfId="2008" xr:uid="{00000000-0005-0000-0000-0000D6070000}"/>
    <cellStyle name="40% - Accent6 10 2 4" xfId="2009" xr:uid="{00000000-0005-0000-0000-0000D7070000}"/>
    <cellStyle name="40% - Accent6 10 3" xfId="2010" xr:uid="{00000000-0005-0000-0000-0000D8070000}"/>
    <cellStyle name="40% - Accent6 10 3 2" xfId="2011" xr:uid="{00000000-0005-0000-0000-0000D9070000}"/>
    <cellStyle name="40% - Accent6 10 4" xfId="2012" xr:uid="{00000000-0005-0000-0000-0000DA070000}"/>
    <cellStyle name="40% - Accent6 10 5" xfId="2013" xr:uid="{00000000-0005-0000-0000-0000DB070000}"/>
    <cellStyle name="40% - Accent6 11" xfId="2014" xr:uid="{00000000-0005-0000-0000-0000DC070000}"/>
    <cellStyle name="40% - Accent6 11 2" xfId="2015" xr:uid="{00000000-0005-0000-0000-0000DD070000}"/>
    <cellStyle name="40% - Accent6 11 2 2" xfId="2016" xr:uid="{00000000-0005-0000-0000-0000DE070000}"/>
    <cellStyle name="40% - Accent6 11 2 2 2" xfId="2017" xr:uid="{00000000-0005-0000-0000-0000DF070000}"/>
    <cellStyle name="40% - Accent6 11 2 3" xfId="2018" xr:uid="{00000000-0005-0000-0000-0000E0070000}"/>
    <cellStyle name="40% - Accent6 11 2 4" xfId="2019" xr:uid="{00000000-0005-0000-0000-0000E1070000}"/>
    <cellStyle name="40% - Accent6 11 3" xfId="2020" xr:uid="{00000000-0005-0000-0000-0000E2070000}"/>
    <cellStyle name="40% - Accent6 11 3 2" xfId="2021" xr:uid="{00000000-0005-0000-0000-0000E3070000}"/>
    <cellStyle name="40% - Accent6 11 4" xfId="2022" xr:uid="{00000000-0005-0000-0000-0000E4070000}"/>
    <cellStyle name="40% - Accent6 11 5" xfId="2023" xr:uid="{00000000-0005-0000-0000-0000E5070000}"/>
    <cellStyle name="40% - Accent6 12" xfId="2024" xr:uid="{00000000-0005-0000-0000-0000E6070000}"/>
    <cellStyle name="40% - Accent6 12 2" xfId="2025" xr:uid="{00000000-0005-0000-0000-0000E7070000}"/>
    <cellStyle name="40% - Accent6 12 2 2" xfId="2026" xr:uid="{00000000-0005-0000-0000-0000E8070000}"/>
    <cellStyle name="40% - Accent6 12 3" xfId="2027" xr:uid="{00000000-0005-0000-0000-0000E9070000}"/>
    <cellStyle name="40% - Accent6 12 4" xfId="2028" xr:uid="{00000000-0005-0000-0000-0000EA070000}"/>
    <cellStyle name="40% - Accent6 13" xfId="2029" xr:uid="{00000000-0005-0000-0000-0000EB070000}"/>
    <cellStyle name="40% - Accent6 13 2" xfId="2030" xr:uid="{00000000-0005-0000-0000-0000EC070000}"/>
    <cellStyle name="40% - Accent6 14" xfId="2031" xr:uid="{00000000-0005-0000-0000-0000ED070000}"/>
    <cellStyle name="40% - Accent6 14 2" xfId="2032" xr:uid="{00000000-0005-0000-0000-0000EE070000}"/>
    <cellStyle name="40% - Accent6 15" xfId="2033" xr:uid="{00000000-0005-0000-0000-0000EF070000}"/>
    <cellStyle name="40% - Accent6 16" xfId="2034" xr:uid="{00000000-0005-0000-0000-0000F0070000}"/>
    <cellStyle name="40% - Accent6 2" xfId="2035" xr:uid="{00000000-0005-0000-0000-0000F1070000}"/>
    <cellStyle name="40% - Accent6 2 2" xfId="2036" xr:uid="{00000000-0005-0000-0000-0000F2070000}"/>
    <cellStyle name="40% - Accent6 2 2 2" xfId="2037" xr:uid="{00000000-0005-0000-0000-0000F3070000}"/>
    <cellStyle name="40% - Accent6 2 2 2 2" xfId="2038" xr:uid="{00000000-0005-0000-0000-0000F4070000}"/>
    <cellStyle name="40% - Accent6 2 2 2 2 2" xfId="2039" xr:uid="{00000000-0005-0000-0000-0000F5070000}"/>
    <cellStyle name="40% - Accent6 2 2 2 2 2 2" xfId="2040" xr:uid="{00000000-0005-0000-0000-0000F6070000}"/>
    <cellStyle name="40% - Accent6 2 2 2 2 3" xfId="2041" xr:uid="{00000000-0005-0000-0000-0000F7070000}"/>
    <cellStyle name="40% - Accent6 2 2 2 2 4" xfId="2042" xr:uid="{00000000-0005-0000-0000-0000F8070000}"/>
    <cellStyle name="40% - Accent6 2 2 2 3" xfId="2043" xr:uid="{00000000-0005-0000-0000-0000F9070000}"/>
    <cellStyle name="40% - Accent6 2 2 2 3 2" xfId="2044" xr:uid="{00000000-0005-0000-0000-0000FA070000}"/>
    <cellStyle name="40% - Accent6 2 2 2 4" xfId="2045" xr:uid="{00000000-0005-0000-0000-0000FB070000}"/>
    <cellStyle name="40% - Accent6 2 2 2 5" xfId="2046" xr:uid="{00000000-0005-0000-0000-0000FC070000}"/>
    <cellStyle name="40% - Accent6 2 2 3" xfId="2047" xr:uid="{00000000-0005-0000-0000-0000FD070000}"/>
    <cellStyle name="40% - Accent6 2 2 3 2" xfId="2048" xr:uid="{00000000-0005-0000-0000-0000FE070000}"/>
    <cellStyle name="40% - Accent6 2 2 3 2 2" xfId="2049" xr:uid="{00000000-0005-0000-0000-0000FF070000}"/>
    <cellStyle name="40% - Accent6 2 2 3 3" xfId="2050" xr:uid="{00000000-0005-0000-0000-000000080000}"/>
    <cellStyle name="40% - Accent6 2 2 3 4" xfId="2051" xr:uid="{00000000-0005-0000-0000-000001080000}"/>
    <cellStyle name="40% - Accent6 2 2 4" xfId="2052" xr:uid="{00000000-0005-0000-0000-000002080000}"/>
    <cellStyle name="40% - Accent6 2 2 4 2" xfId="2053" xr:uid="{00000000-0005-0000-0000-000003080000}"/>
    <cellStyle name="40% - Accent6 2 2 5" xfId="2054" xr:uid="{00000000-0005-0000-0000-000004080000}"/>
    <cellStyle name="40% - Accent6 2 2 5 2" xfId="2055" xr:uid="{00000000-0005-0000-0000-000005080000}"/>
    <cellStyle name="40% - Accent6 2 2 6" xfId="2056" xr:uid="{00000000-0005-0000-0000-000006080000}"/>
    <cellStyle name="40% - Accent6 2 2 7" xfId="2057" xr:uid="{00000000-0005-0000-0000-000007080000}"/>
    <cellStyle name="40% - Accent6 2 3" xfId="2058" xr:uid="{00000000-0005-0000-0000-000008080000}"/>
    <cellStyle name="40% - Accent6 2 3 2" xfId="2059" xr:uid="{00000000-0005-0000-0000-000009080000}"/>
    <cellStyle name="40% - Accent6 2 3 2 2" xfId="2060" xr:uid="{00000000-0005-0000-0000-00000A080000}"/>
    <cellStyle name="40% - Accent6 2 3 2 2 2" xfId="2061" xr:uid="{00000000-0005-0000-0000-00000B080000}"/>
    <cellStyle name="40% - Accent6 2 3 2 3" xfId="2062" xr:uid="{00000000-0005-0000-0000-00000C080000}"/>
    <cellStyle name="40% - Accent6 2 3 2 4" xfId="2063" xr:uid="{00000000-0005-0000-0000-00000D080000}"/>
    <cellStyle name="40% - Accent6 2 3 3" xfId="2064" xr:uid="{00000000-0005-0000-0000-00000E080000}"/>
    <cellStyle name="40% - Accent6 2 3 3 2" xfId="2065" xr:uid="{00000000-0005-0000-0000-00000F080000}"/>
    <cellStyle name="40% - Accent6 2 3 4" xfId="2066" xr:uid="{00000000-0005-0000-0000-000010080000}"/>
    <cellStyle name="40% - Accent6 2 3 5" xfId="2067" xr:uid="{00000000-0005-0000-0000-000011080000}"/>
    <cellStyle name="40% - Accent6 2 4" xfId="2068" xr:uid="{00000000-0005-0000-0000-000012080000}"/>
    <cellStyle name="40% - Accent6 2 4 2" xfId="2069" xr:uid="{00000000-0005-0000-0000-000013080000}"/>
    <cellStyle name="40% - Accent6 2 4 2 2" xfId="2070" xr:uid="{00000000-0005-0000-0000-000014080000}"/>
    <cellStyle name="40% - Accent6 2 4 3" xfId="2071" xr:uid="{00000000-0005-0000-0000-000015080000}"/>
    <cellStyle name="40% - Accent6 2 4 4" xfId="2072" xr:uid="{00000000-0005-0000-0000-000016080000}"/>
    <cellStyle name="40% - Accent6 2 5" xfId="2073" xr:uid="{00000000-0005-0000-0000-000017080000}"/>
    <cellStyle name="40% - Accent6 2 5 2" xfId="2074" xr:uid="{00000000-0005-0000-0000-000018080000}"/>
    <cellStyle name="40% - Accent6 2 6" xfId="2075" xr:uid="{00000000-0005-0000-0000-000019080000}"/>
    <cellStyle name="40% - Accent6 2 6 2" xfId="2076" xr:uid="{00000000-0005-0000-0000-00001A080000}"/>
    <cellStyle name="40% - Accent6 2 7" xfId="2077" xr:uid="{00000000-0005-0000-0000-00001B080000}"/>
    <cellStyle name="40% - Accent6 2 8" xfId="2078" xr:uid="{00000000-0005-0000-0000-00001C080000}"/>
    <cellStyle name="40% - Accent6 3" xfId="2079" xr:uid="{00000000-0005-0000-0000-00001D080000}"/>
    <cellStyle name="40% - Accent6 3 2" xfId="2080" xr:uid="{00000000-0005-0000-0000-00001E080000}"/>
    <cellStyle name="40% - Accent6 4" xfId="2081" xr:uid="{00000000-0005-0000-0000-00001F080000}"/>
    <cellStyle name="40% - Accent6 4 2" xfId="2082" xr:uid="{00000000-0005-0000-0000-000020080000}"/>
    <cellStyle name="40% - Accent6 4 2 2" xfId="2083" xr:uid="{00000000-0005-0000-0000-000021080000}"/>
    <cellStyle name="40% - Accent6 4 2 2 2" xfId="2084" xr:uid="{00000000-0005-0000-0000-000022080000}"/>
    <cellStyle name="40% - Accent6 4 2 2 2 2" xfId="2085" xr:uid="{00000000-0005-0000-0000-000023080000}"/>
    <cellStyle name="40% - Accent6 4 2 2 3" xfId="2086" xr:uid="{00000000-0005-0000-0000-000024080000}"/>
    <cellStyle name="40% - Accent6 4 2 2 4" xfId="2087" xr:uid="{00000000-0005-0000-0000-000025080000}"/>
    <cellStyle name="40% - Accent6 4 2 3" xfId="2088" xr:uid="{00000000-0005-0000-0000-000026080000}"/>
    <cellStyle name="40% - Accent6 4 2 3 2" xfId="2089" xr:uid="{00000000-0005-0000-0000-000027080000}"/>
    <cellStyle name="40% - Accent6 4 2 4" xfId="2090" xr:uid="{00000000-0005-0000-0000-000028080000}"/>
    <cellStyle name="40% - Accent6 4 2 5" xfId="2091" xr:uid="{00000000-0005-0000-0000-000029080000}"/>
    <cellStyle name="40% - Accent6 4 3" xfId="2092" xr:uid="{00000000-0005-0000-0000-00002A080000}"/>
    <cellStyle name="40% - Accent6 4 3 2" xfId="2093" xr:uid="{00000000-0005-0000-0000-00002B080000}"/>
    <cellStyle name="40% - Accent6 4 3 2 2" xfId="2094" xr:uid="{00000000-0005-0000-0000-00002C080000}"/>
    <cellStyle name="40% - Accent6 4 3 3" xfId="2095" xr:uid="{00000000-0005-0000-0000-00002D080000}"/>
    <cellStyle name="40% - Accent6 4 3 4" xfId="2096" xr:uid="{00000000-0005-0000-0000-00002E080000}"/>
    <cellStyle name="40% - Accent6 4 4" xfId="2097" xr:uid="{00000000-0005-0000-0000-00002F080000}"/>
    <cellStyle name="40% - Accent6 4 4 2" xfId="2098" xr:uid="{00000000-0005-0000-0000-000030080000}"/>
    <cellStyle name="40% - Accent6 4 5" xfId="2099" xr:uid="{00000000-0005-0000-0000-000031080000}"/>
    <cellStyle name="40% - Accent6 4 5 2" xfId="2100" xr:uid="{00000000-0005-0000-0000-000032080000}"/>
    <cellStyle name="40% - Accent6 4 6" xfId="2101" xr:uid="{00000000-0005-0000-0000-000033080000}"/>
    <cellStyle name="40% - Accent6 4 7" xfId="2102" xr:uid="{00000000-0005-0000-0000-000034080000}"/>
    <cellStyle name="40% - Accent6 5" xfId="2103" xr:uid="{00000000-0005-0000-0000-000035080000}"/>
    <cellStyle name="40% - Accent6 5 2" xfId="2104" xr:uid="{00000000-0005-0000-0000-000036080000}"/>
    <cellStyle name="40% - Accent6 5 2 2" xfId="2105" xr:uid="{00000000-0005-0000-0000-000037080000}"/>
    <cellStyle name="40% - Accent6 5 2 2 2" xfId="2106" xr:uid="{00000000-0005-0000-0000-000038080000}"/>
    <cellStyle name="40% - Accent6 5 2 2 2 2" xfId="2107" xr:uid="{00000000-0005-0000-0000-000039080000}"/>
    <cellStyle name="40% - Accent6 5 2 2 3" xfId="2108" xr:uid="{00000000-0005-0000-0000-00003A080000}"/>
    <cellStyle name="40% - Accent6 5 2 2 4" xfId="2109" xr:uid="{00000000-0005-0000-0000-00003B080000}"/>
    <cellStyle name="40% - Accent6 5 2 3" xfId="2110" xr:uid="{00000000-0005-0000-0000-00003C080000}"/>
    <cellStyle name="40% - Accent6 5 2 3 2" xfId="2111" xr:uid="{00000000-0005-0000-0000-00003D080000}"/>
    <cellStyle name="40% - Accent6 5 2 4" xfId="2112" xr:uid="{00000000-0005-0000-0000-00003E080000}"/>
    <cellStyle name="40% - Accent6 5 2 5" xfId="2113" xr:uid="{00000000-0005-0000-0000-00003F080000}"/>
    <cellStyle name="40% - Accent6 5 3" xfId="2114" xr:uid="{00000000-0005-0000-0000-000040080000}"/>
    <cellStyle name="40% - Accent6 5 3 2" xfId="2115" xr:uid="{00000000-0005-0000-0000-000041080000}"/>
    <cellStyle name="40% - Accent6 5 3 2 2" xfId="2116" xr:uid="{00000000-0005-0000-0000-000042080000}"/>
    <cellStyle name="40% - Accent6 5 3 3" xfId="2117" xr:uid="{00000000-0005-0000-0000-000043080000}"/>
    <cellStyle name="40% - Accent6 5 3 4" xfId="2118" xr:uid="{00000000-0005-0000-0000-000044080000}"/>
    <cellStyle name="40% - Accent6 5 4" xfId="2119" xr:uid="{00000000-0005-0000-0000-000045080000}"/>
    <cellStyle name="40% - Accent6 5 4 2" xfId="2120" xr:uid="{00000000-0005-0000-0000-000046080000}"/>
    <cellStyle name="40% - Accent6 5 5" xfId="2121" xr:uid="{00000000-0005-0000-0000-000047080000}"/>
    <cellStyle name="40% - Accent6 5 5 2" xfId="2122" xr:uid="{00000000-0005-0000-0000-000048080000}"/>
    <cellStyle name="40% - Accent6 5 6" xfId="2123" xr:uid="{00000000-0005-0000-0000-000049080000}"/>
    <cellStyle name="40% - Accent6 5 7" xfId="2124" xr:uid="{00000000-0005-0000-0000-00004A080000}"/>
    <cellStyle name="40% - Accent6 6" xfId="2125" xr:uid="{00000000-0005-0000-0000-00004B080000}"/>
    <cellStyle name="40% - Accent6 7" xfId="2126" xr:uid="{00000000-0005-0000-0000-00004C080000}"/>
    <cellStyle name="40% - Accent6 7 2" xfId="2127" xr:uid="{00000000-0005-0000-0000-00004D080000}"/>
    <cellStyle name="40% - Accent6 7 2 2" xfId="2128" xr:uid="{00000000-0005-0000-0000-00004E080000}"/>
    <cellStyle name="40% - Accent6 7 2 2 2" xfId="2129" xr:uid="{00000000-0005-0000-0000-00004F080000}"/>
    <cellStyle name="40% - Accent6 7 2 2 2 2" xfId="2130" xr:uid="{00000000-0005-0000-0000-000050080000}"/>
    <cellStyle name="40% - Accent6 7 2 2 3" xfId="2131" xr:uid="{00000000-0005-0000-0000-000051080000}"/>
    <cellStyle name="40% - Accent6 7 2 2 4" xfId="2132" xr:uid="{00000000-0005-0000-0000-000052080000}"/>
    <cellStyle name="40% - Accent6 7 2 3" xfId="2133" xr:uid="{00000000-0005-0000-0000-000053080000}"/>
    <cellStyle name="40% - Accent6 7 2 3 2" xfId="2134" xr:uid="{00000000-0005-0000-0000-000054080000}"/>
    <cellStyle name="40% - Accent6 7 2 4" xfId="2135" xr:uid="{00000000-0005-0000-0000-000055080000}"/>
    <cellStyle name="40% - Accent6 7 2 5" xfId="2136" xr:uid="{00000000-0005-0000-0000-000056080000}"/>
    <cellStyle name="40% - Accent6 7 3" xfId="2137" xr:uid="{00000000-0005-0000-0000-000057080000}"/>
    <cellStyle name="40% - Accent6 7 3 2" xfId="2138" xr:uid="{00000000-0005-0000-0000-000058080000}"/>
    <cellStyle name="40% - Accent6 7 3 2 2" xfId="2139" xr:uid="{00000000-0005-0000-0000-000059080000}"/>
    <cellStyle name="40% - Accent6 7 3 3" xfId="2140" xr:uid="{00000000-0005-0000-0000-00005A080000}"/>
    <cellStyle name="40% - Accent6 7 3 4" xfId="2141" xr:uid="{00000000-0005-0000-0000-00005B080000}"/>
    <cellStyle name="40% - Accent6 7 4" xfId="2142" xr:uid="{00000000-0005-0000-0000-00005C080000}"/>
    <cellStyle name="40% - Accent6 7 4 2" xfId="2143" xr:uid="{00000000-0005-0000-0000-00005D080000}"/>
    <cellStyle name="40% - Accent6 7 5" xfId="2144" xr:uid="{00000000-0005-0000-0000-00005E080000}"/>
    <cellStyle name="40% - Accent6 7 6" xfId="2145" xr:uid="{00000000-0005-0000-0000-00005F080000}"/>
    <cellStyle name="40% - Accent6 8" xfId="2146" xr:uid="{00000000-0005-0000-0000-000060080000}"/>
    <cellStyle name="40% - Accent6 8 2" xfId="2147" xr:uid="{00000000-0005-0000-0000-000061080000}"/>
    <cellStyle name="40% - Accent6 8 2 2" xfId="2148" xr:uid="{00000000-0005-0000-0000-000062080000}"/>
    <cellStyle name="40% - Accent6 8 2 2 2" xfId="2149" xr:uid="{00000000-0005-0000-0000-000063080000}"/>
    <cellStyle name="40% - Accent6 8 2 2 2 2" xfId="2150" xr:uid="{00000000-0005-0000-0000-000064080000}"/>
    <cellStyle name="40% - Accent6 8 2 2 3" xfId="2151" xr:uid="{00000000-0005-0000-0000-000065080000}"/>
    <cellStyle name="40% - Accent6 8 2 2 4" xfId="2152" xr:uid="{00000000-0005-0000-0000-000066080000}"/>
    <cellStyle name="40% - Accent6 8 2 3" xfId="2153" xr:uid="{00000000-0005-0000-0000-000067080000}"/>
    <cellStyle name="40% - Accent6 8 2 3 2" xfId="2154" xr:uid="{00000000-0005-0000-0000-000068080000}"/>
    <cellStyle name="40% - Accent6 8 2 4" xfId="2155" xr:uid="{00000000-0005-0000-0000-000069080000}"/>
    <cellStyle name="40% - Accent6 8 2 5" xfId="2156" xr:uid="{00000000-0005-0000-0000-00006A080000}"/>
    <cellStyle name="40% - Accent6 8 3" xfId="2157" xr:uid="{00000000-0005-0000-0000-00006B080000}"/>
    <cellStyle name="40% - Accent6 8 3 2" xfId="2158" xr:uid="{00000000-0005-0000-0000-00006C080000}"/>
    <cellStyle name="40% - Accent6 8 3 2 2" xfId="2159" xr:uid="{00000000-0005-0000-0000-00006D080000}"/>
    <cellStyle name="40% - Accent6 8 3 3" xfId="2160" xr:uid="{00000000-0005-0000-0000-00006E080000}"/>
    <cellStyle name="40% - Accent6 8 3 4" xfId="2161" xr:uid="{00000000-0005-0000-0000-00006F080000}"/>
    <cellStyle name="40% - Accent6 8 4" xfId="2162" xr:uid="{00000000-0005-0000-0000-000070080000}"/>
    <cellStyle name="40% - Accent6 8 4 2" xfId="2163" xr:uid="{00000000-0005-0000-0000-000071080000}"/>
    <cellStyle name="40% - Accent6 8 5" xfId="2164" xr:uid="{00000000-0005-0000-0000-000072080000}"/>
    <cellStyle name="40% - Accent6 8 6" xfId="2165" xr:uid="{00000000-0005-0000-0000-000073080000}"/>
    <cellStyle name="40% - Accent6 9" xfId="2166" xr:uid="{00000000-0005-0000-0000-000074080000}"/>
    <cellStyle name="40% - Accent6 9 2" xfId="2167" xr:uid="{00000000-0005-0000-0000-000075080000}"/>
    <cellStyle name="40% - Accent6 9 2 2" xfId="2168" xr:uid="{00000000-0005-0000-0000-000076080000}"/>
    <cellStyle name="40% - Accent6 9 2 2 2" xfId="2169" xr:uid="{00000000-0005-0000-0000-000077080000}"/>
    <cellStyle name="40% - Accent6 9 2 2 2 2" xfId="2170" xr:uid="{00000000-0005-0000-0000-000078080000}"/>
    <cellStyle name="40% - Accent6 9 2 2 3" xfId="2171" xr:uid="{00000000-0005-0000-0000-000079080000}"/>
    <cellStyle name="40% - Accent6 9 2 2 4" xfId="2172" xr:uid="{00000000-0005-0000-0000-00007A080000}"/>
    <cellStyle name="40% - Accent6 9 2 3" xfId="2173" xr:uid="{00000000-0005-0000-0000-00007B080000}"/>
    <cellStyle name="40% - Accent6 9 2 3 2" xfId="2174" xr:uid="{00000000-0005-0000-0000-00007C080000}"/>
    <cellStyle name="40% - Accent6 9 2 4" xfId="2175" xr:uid="{00000000-0005-0000-0000-00007D080000}"/>
    <cellStyle name="40% - Accent6 9 2 5" xfId="2176" xr:uid="{00000000-0005-0000-0000-00007E080000}"/>
    <cellStyle name="40% - Accent6 9 3" xfId="2177" xr:uid="{00000000-0005-0000-0000-00007F080000}"/>
    <cellStyle name="40% - Accent6 9 3 2" xfId="2178" xr:uid="{00000000-0005-0000-0000-000080080000}"/>
    <cellStyle name="40% - Accent6 9 3 2 2" xfId="2179" xr:uid="{00000000-0005-0000-0000-000081080000}"/>
    <cellStyle name="40% - Accent6 9 3 3" xfId="2180" xr:uid="{00000000-0005-0000-0000-000082080000}"/>
    <cellStyle name="40% - Accent6 9 3 4" xfId="2181" xr:uid="{00000000-0005-0000-0000-000083080000}"/>
    <cellStyle name="40% - Accent6 9 4" xfId="2182" xr:uid="{00000000-0005-0000-0000-000084080000}"/>
    <cellStyle name="40% - Accent6 9 4 2" xfId="2183" xr:uid="{00000000-0005-0000-0000-000085080000}"/>
    <cellStyle name="40% - Accent6 9 5" xfId="2184" xr:uid="{00000000-0005-0000-0000-000086080000}"/>
    <cellStyle name="40% - Accent6 9 6" xfId="2185" xr:uid="{00000000-0005-0000-0000-000087080000}"/>
    <cellStyle name="60% - Accent1 2" xfId="2186" xr:uid="{00000000-0005-0000-0000-000088080000}"/>
    <cellStyle name="60% - Accent1 3" xfId="2187" xr:uid="{00000000-0005-0000-0000-000089080000}"/>
    <cellStyle name="60% - Accent2 2" xfId="2188" xr:uid="{00000000-0005-0000-0000-00008A080000}"/>
    <cellStyle name="60% - Accent2 3" xfId="2189" xr:uid="{00000000-0005-0000-0000-00008B080000}"/>
    <cellStyle name="60% - Accent3 2" xfId="2190" xr:uid="{00000000-0005-0000-0000-00008C080000}"/>
    <cellStyle name="60% - Accent3 3" xfId="2191" xr:uid="{00000000-0005-0000-0000-00008D080000}"/>
    <cellStyle name="60% - Accent4 2" xfId="2192" xr:uid="{00000000-0005-0000-0000-00008E080000}"/>
    <cellStyle name="60% - Accent4 3" xfId="2193" xr:uid="{00000000-0005-0000-0000-00008F080000}"/>
    <cellStyle name="60% - Accent5 2" xfId="2194" xr:uid="{00000000-0005-0000-0000-000090080000}"/>
    <cellStyle name="60% - Accent5 3" xfId="2195" xr:uid="{00000000-0005-0000-0000-000091080000}"/>
    <cellStyle name="60% - Accent6 2" xfId="2196" xr:uid="{00000000-0005-0000-0000-000092080000}"/>
    <cellStyle name="60% - Accent6 3" xfId="2197" xr:uid="{00000000-0005-0000-0000-000093080000}"/>
    <cellStyle name="Accent1 2" xfId="2198" xr:uid="{00000000-0005-0000-0000-000094080000}"/>
    <cellStyle name="Accent1 3" xfId="2199" xr:uid="{00000000-0005-0000-0000-000095080000}"/>
    <cellStyle name="Accent2 2" xfId="2200" xr:uid="{00000000-0005-0000-0000-000096080000}"/>
    <cellStyle name="Accent2 3" xfId="2201" xr:uid="{00000000-0005-0000-0000-000097080000}"/>
    <cellStyle name="Accent3 2" xfId="2202" xr:uid="{00000000-0005-0000-0000-000098080000}"/>
    <cellStyle name="Accent3 3" xfId="2203" xr:uid="{00000000-0005-0000-0000-000099080000}"/>
    <cellStyle name="Accent4 2" xfId="2204" xr:uid="{00000000-0005-0000-0000-00009A080000}"/>
    <cellStyle name="Accent4 3" xfId="2205" xr:uid="{00000000-0005-0000-0000-00009B080000}"/>
    <cellStyle name="Accent5 2" xfId="2206" xr:uid="{00000000-0005-0000-0000-00009C080000}"/>
    <cellStyle name="Accent5 3" xfId="2207" xr:uid="{00000000-0005-0000-0000-00009D080000}"/>
    <cellStyle name="Accent6 2" xfId="2208" xr:uid="{00000000-0005-0000-0000-00009E080000}"/>
    <cellStyle name="Accent6 3" xfId="2209" xr:uid="{00000000-0005-0000-0000-00009F080000}"/>
    <cellStyle name="Bad 2" xfId="2210" xr:uid="{00000000-0005-0000-0000-0000A0080000}"/>
    <cellStyle name="Bad 3" xfId="2211" xr:uid="{00000000-0005-0000-0000-0000A1080000}"/>
    <cellStyle name="Calculation 2" xfId="2212" xr:uid="{00000000-0005-0000-0000-0000A2080000}"/>
    <cellStyle name="Calculation 3" xfId="2213" xr:uid="{00000000-0005-0000-0000-0000A3080000}"/>
    <cellStyle name="Check Cell 2" xfId="2214" xr:uid="{00000000-0005-0000-0000-0000A4080000}"/>
    <cellStyle name="Check Cell 3" xfId="2215" xr:uid="{00000000-0005-0000-0000-0000A5080000}"/>
    <cellStyle name="Comma" xfId="1" builtinId="3"/>
    <cellStyle name="Comma [0] 2" xfId="2216" xr:uid="{00000000-0005-0000-0000-0000A7080000}"/>
    <cellStyle name="Comma [0] 2 2" xfId="2217" xr:uid="{00000000-0005-0000-0000-0000A8080000}"/>
    <cellStyle name="Comma 10" xfId="2218" xr:uid="{00000000-0005-0000-0000-0000A9080000}"/>
    <cellStyle name="Comma 10 2" xfId="2219" xr:uid="{00000000-0005-0000-0000-0000AA080000}"/>
    <cellStyle name="Comma 11" xfId="2220" xr:uid="{00000000-0005-0000-0000-0000AB080000}"/>
    <cellStyle name="Comma 12" xfId="2221" xr:uid="{00000000-0005-0000-0000-0000AC080000}"/>
    <cellStyle name="Comma 12 2" xfId="2222" xr:uid="{00000000-0005-0000-0000-0000AD080000}"/>
    <cellStyle name="Comma 12 2 2" xfId="2223" xr:uid="{00000000-0005-0000-0000-0000AE080000}"/>
    <cellStyle name="Comma 12 2 2 2" xfId="2224" xr:uid="{00000000-0005-0000-0000-0000AF080000}"/>
    <cellStyle name="Comma 12 2 2 2 2" xfId="2225" xr:uid="{00000000-0005-0000-0000-0000B0080000}"/>
    <cellStyle name="Comma 12 2 2 3" xfId="2226" xr:uid="{00000000-0005-0000-0000-0000B1080000}"/>
    <cellStyle name="Comma 12 2 2 4" xfId="2227" xr:uid="{00000000-0005-0000-0000-0000B2080000}"/>
    <cellStyle name="Comma 12 2 3" xfId="2228" xr:uid="{00000000-0005-0000-0000-0000B3080000}"/>
    <cellStyle name="Comma 12 2 3 2" xfId="2229" xr:uid="{00000000-0005-0000-0000-0000B4080000}"/>
    <cellStyle name="Comma 12 2 4" xfId="2230" xr:uid="{00000000-0005-0000-0000-0000B5080000}"/>
    <cellStyle name="Comma 12 2 5" xfId="2231" xr:uid="{00000000-0005-0000-0000-0000B6080000}"/>
    <cellStyle name="Comma 12 3" xfId="2232" xr:uid="{00000000-0005-0000-0000-0000B7080000}"/>
    <cellStyle name="Comma 12 3 2" xfId="2233" xr:uid="{00000000-0005-0000-0000-0000B8080000}"/>
    <cellStyle name="Comma 12 3 2 2" xfId="2234" xr:uid="{00000000-0005-0000-0000-0000B9080000}"/>
    <cellStyle name="Comma 12 3 3" xfId="2235" xr:uid="{00000000-0005-0000-0000-0000BA080000}"/>
    <cellStyle name="Comma 12 3 4" xfId="2236" xr:uid="{00000000-0005-0000-0000-0000BB080000}"/>
    <cellStyle name="Comma 12 4" xfId="2237" xr:uid="{00000000-0005-0000-0000-0000BC080000}"/>
    <cellStyle name="Comma 12 4 2" xfId="2238" xr:uid="{00000000-0005-0000-0000-0000BD080000}"/>
    <cellStyle name="Comma 12 5" xfId="2239" xr:uid="{00000000-0005-0000-0000-0000BE080000}"/>
    <cellStyle name="Comma 12 6" xfId="2240" xr:uid="{00000000-0005-0000-0000-0000BF080000}"/>
    <cellStyle name="Comma 13" xfId="2241" xr:uid="{00000000-0005-0000-0000-0000C0080000}"/>
    <cellStyle name="Comma 14" xfId="2242" xr:uid="{00000000-0005-0000-0000-0000C1080000}"/>
    <cellStyle name="Comma 15" xfId="2243" xr:uid="{00000000-0005-0000-0000-0000C2080000}"/>
    <cellStyle name="Comma 16" xfId="2244" xr:uid="{00000000-0005-0000-0000-0000C3080000}"/>
    <cellStyle name="Comma 17" xfId="2245" xr:uid="{00000000-0005-0000-0000-0000C4080000}"/>
    <cellStyle name="Comma 18" xfId="2246" xr:uid="{00000000-0005-0000-0000-0000C5080000}"/>
    <cellStyle name="Comma 19" xfId="2247" xr:uid="{00000000-0005-0000-0000-0000C6080000}"/>
    <cellStyle name="Comma 2" xfId="2248" xr:uid="{00000000-0005-0000-0000-0000C7080000}"/>
    <cellStyle name="Comma 2 2" xfId="2249" xr:uid="{00000000-0005-0000-0000-0000C8080000}"/>
    <cellStyle name="Comma 2 2 2" xfId="2250" xr:uid="{00000000-0005-0000-0000-0000C9080000}"/>
    <cellStyle name="Comma 2 3" xfId="2251" xr:uid="{00000000-0005-0000-0000-0000CA080000}"/>
    <cellStyle name="Comma 2 3 2" xfId="2979" xr:uid="{00000000-0005-0000-0000-0000CB080000}"/>
    <cellStyle name="Comma 2 4" xfId="2252" xr:uid="{00000000-0005-0000-0000-0000CC080000}"/>
    <cellStyle name="Comma 20" xfId="2253" xr:uid="{00000000-0005-0000-0000-0000CD080000}"/>
    <cellStyle name="Comma 20 2" xfId="2254" xr:uid="{00000000-0005-0000-0000-0000CE080000}"/>
    <cellStyle name="Comma 20 2 2" xfId="2255" xr:uid="{00000000-0005-0000-0000-0000CF080000}"/>
    <cellStyle name="Comma 20 3" xfId="2256" xr:uid="{00000000-0005-0000-0000-0000D0080000}"/>
    <cellStyle name="Comma 20 4" xfId="2257" xr:uid="{00000000-0005-0000-0000-0000D1080000}"/>
    <cellStyle name="Comma 21" xfId="2258" xr:uid="{00000000-0005-0000-0000-0000D2080000}"/>
    <cellStyle name="Comma 21 2" xfId="2259" xr:uid="{00000000-0005-0000-0000-0000D3080000}"/>
    <cellStyle name="Comma 21 2 2" xfId="2260" xr:uid="{00000000-0005-0000-0000-0000D4080000}"/>
    <cellStyle name="Comma 21 3" xfId="2261" xr:uid="{00000000-0005-0000-0000-0000D5080000}"/>
    <cellStyle name="Comma 21 4" xfId="2262" xr:uid="{00000000-0005-0000-0000-0000D6080000}"/>
    <cellStyle name="Comma 22" xfId="2263" xr:uid="{00000000-0005-0000-0000-0000D7080000}"/>
    <cellStyle name="Comma 23" xfId="2264" xr:uid="{00000000-0005-0000-0000-0000D8080000}"/>
    <cellStyle name="Comma 24" xfId="2265" xr:uid="{00000000-0005-0000-0000-0000D9080000}"/>
    <cellStyle name="Comma 24 2" xfId="2266" xr:uid="{00000000-0005-0000-0000-0000DA080000}"/>
    <cellStyle name="Comma 25" xfId="2267" xr:uid="{00000000-0005-0000-0000-0000DB080000}"/>
    <cellStyle name="Comma 25 2" xfId="2268" xr:uid="{00000000-0005-0000-0000-0000DC080000}"/>
    <cellStyle name="Comma 26" xfId="2269" xr:uid="{00000000-0005-0000-0000-0000DD080000}"/>
    <cellStyle name="Comma 26 2" xfId="2270" xr:uid="{00000000-0005-0000-0000-0000DE080000}"/>
    <cellStyle name="Comma 27" xfId="2271" xr:uid="{00000000-0005-0000-0000-0000DF080000}"/>
    <cellStyle name="Comma 27 2" xfId="2272" xr:uid="{00000000-0005-0000-0000-0000E0080000}"/>
    <cellStyle name="Comma 28" xfId="2273" xr:uid="{00000000-0005-0000-0000-0000E1080000}"/>
    <cellStyle name="Comma 28 2" xfId="2274" xr:uid="{00000000-0005-0000-0000-0000E2080000}"/>
    <cellStyle name="Comma 29" xfId="2275" xr:uid="{00000000-0005-0000-0000-0000E3080000}"/>
    <cellStyle name="Comma 29 2" xfId="2276" xr:uid="{00000000-0005-0000-0000-0000E4080000}"/>
    <cellStyle name="Comma 3" xfId="2277" xr:uid="{00000000-0005-0000-0000-0000E5080000}"/>
    <cellStyle name="Comma 3 2" xfId="2278" xr:uid="{00000000-0005-0000-0000-0000E6080000}"/>
    <cellStyle name="Comma 3 2 2" xfId="2279" xr:uid="{00000000-0005-0000-0000-0000E7080000}"/>
    <cellStyle name="Comma 3 3" xfId="2280" xr:uid="{00000000-0005-0000-0000-0000E8080000}"/>
    <cellStyle name="Comma 30" xfId="2281" xr:uid="{00000000-0005-0000-0000-0000E9080000}"/>
    <cellStyle name="Comma 30 2" xfId="2282" xr:uid="{00000000-0005-0000-0000-0000EA080000}"/>
    <cellStyle name="Comma 31" xfId="2283" xr:uid="{00000000-0005-0000-0000-0000EB080000}"/>
    <cellStyle name="Comma 31 2" xfId="2284" xr:uid="{00000000-0005-0000-0000-0000EC080000}"/>
    <cellStyle name="Comma 32" xfId="2285" xr:uid="{00000000-0005-0000-0000-0000ED080000}"/>
    <cellStyle name="Comma 32 2" xfId="2286" xr:uid="{00000000-0005-0000-0000-0000EE080000}"/>
    <cellStyle name="Comma 33" xfId="2287" xr:uid="{00000000-0005-0000-0000-0000EF080000}"/>
    <cellStyle name="Comma 33 2" xfId="2288" xr:uid="{00000000-0005-0000-0000-0000F0080000}"/>
    <cellStyle name="Comma 34" xfId="2289" xr:uid="{00000000-0005-0000-0000-0000F1080000}"/>
    <cellStyle name="Comma 34 2" xfId="2290" xr:uid="{00000000-0005-0000-0000-0000F2080000}"/>
    <cellStyle name="Comma 35" xfId="2291" xr:uid="{00000000-0005-0000-0000-0000F3080000}"/>
    <cellStyle name="Comma 35 2" xfId="2292" xr:uid="{00000000-0005-0000-0000-0000F4080000}"/>
    <cellStyle name="Comma 36" xfId="2293" xr:uid="{00000000-0005-0000-0000-0000F5080000}"/>
    <cellStyle name="Comma 36 2" xfId="2294" xr:uid="{00000000-0005-0000-0000-0000F6080000}"/>
    <cellStyle name="Comma 37" xfId="2295" xr:uid="{00000000-0005-0000-0000-0000F7080000}"/>
    <cellStyle name="Comma 37 2" xfId="2296" xr:uid="{00000000-0005-0000-0000-0000F8080000}"/>
    <cellStyle name="Comma 38" xfId="2297" xr:uid="{00000000-0005-0000-0000-0000F9080000}"/>
    <cellStyle name="Comma 38 2" xfId="2298" xr:uid="{00000000-0005-0000-0000-0000FA080000}"/>
    <cellStyle name="Comma 39" xfId="2299" xr:uid="{00000000-0005-0000-0000-0000FB080000}"/>
    <cellStyle name="Comma 39 2" xfId="2300" xr:uid="{00000000-0005-0000-0000-0000FC080000}"/>
    <cellStyle name="Comma 4" xfId="2301" xr:uid="{00000000-0005-0000-0000-0000FD080000}"/>
    <cellStyle name="Comma 4 2" xfId="2302" xr:uid="{00000000-0005-0000-0000-0000FE080000}"/>
    <cellStyle name="Comma 40" xfId="2303" xr:uid="{00000000-0005-0000-0000-0000FF080000}"/>
    <cellStyle name="Comma 40 2" xfId="2304" xr:uid="{00000000-0005-0000-0000-000000090000}"/>
    <cellStyle name="Comma 41" xfId="2305" xr:uid="{00000000-0005-0000-0000-000001090000}"/>
    <cellStyle name="Comma 41 2" xfId="2306" xr:uid="{00000000-0005-0000-0000-000002090000}"/>
    <cellStyle name="Comma 42" xfId="2307" xr:uid="{00000000-0005-0000-0000-000003090000}"/>
    <cellStyle name="Comma 42 2" xfId="2308" xr:uid="{00000000-0005-0000-0000-000004090000}"/>
    <cellStyle name="Comma 43" xfId="2309" xr:uid="{00000000-0005-0000-0000-000005090000}"/>
    <cellStyle name="Comma 43 2" xfId="2310" xr:uid="{00000000-0005-0000-0000-000006090000}"/>
    <cellStyle name="Comma 44" xfId="2311" xr:uid="{00000000-0005-0000-0000-000007090000}"/>
    <cellStyle name="Comma 44 2" xfId="2312" xr:uid="{00000000-0005-0000-0000-000008090000}"/>
    <cellStyle name="Comma 45" xfId="2313" xr:uid="{00000000-0005-0000-0000-000009090000}"/>
    <cellStyle name="Comma 45 2" xfId="2314" xr:uid="{00000000-0005-0000-0000-00000A090000}"/>
    <cellStyle name="Comma 46" xfId="2315" xr:uid="{00000000-0005-0000-0000-00000B090000}"/>
    <cellStyle name="Comma 46 2" xfId="2316" xr:uid="{00000000-0005-0000-0000-00000C090000}"/>
    <cellStyle name="Comma 47" xfId="2317" xr:uid="{00000000-0005-0000-0000-00000D090000}"/>
    <cellStyle name="Comma 47 2" xfId="2318" xr:uid="{00000000-0005-0000-0000-00000E090000}"/>
    <cellStyle name="Comma 48" xfId="2319" xr:uid="{00000000-0005-0000-0000-00000F090000}"/>
    <cellStyle name="Comma 49" xfId="2320" xr:uid="{00000000-0005-0000-0000-000010090000}"/>
    <cellStyle name="Comma 5" xfId="2321" xr:uid="{00000000-0005-0000-0000-000011090000}"/>
    <cellStyle name="Comma 5 2" xfId="2322" xr:uid="{00000000-0005-0000-0000-000012090000}"/>
    <cellStyle name="Comma 5 2 2" xfId="2323" xr:uid="{00000000-0005-0000-0000-000013090000}"/>
    <cellStyle name="Comma 5 2 2 2" xfId="2324" xr:uid="{00000000-0005-0000-0000-000014090000}"/>
    <cellStyle name="Comma 5 2 2 2 2" xfId="2325" xr:uid="{00000000-0005-0000-0000-000015090000}"/>
    <cellStyle name="Comma 5 2 2 2 2 2" xfId="2326" xr:uid="{00000000-0005-0000-0000-000016090000}"/>
    <cellStyle name="Comma 5 2 2 2 3" xfId="2327" xr:uid="{00000000-0005-0000-0000-000017090000}"/>
    <cellStyle name="Comma 5 2 2 2 4" xfId="2328" xr:uid="{00000000-0005-0000-0000-000018090000}"/>
    <cellStyle name="Comma 5 2 2 3" xfId="2329" xr:uid="{00000000-0005-0000-0000-000019090000}"/>
    <cellStyle name="Comma 5 2 2 3 2" xfId="2330" xr:uid="{00000000-0005-0000-0000-00001A090000}"/>
    <cellStyle name="Comma 5 2 2 4" xfId="2331" xr:uid="{00000000-0005-0000-0000-00001B090000}"/>
    <cellStyle name="Comma 5 2 2 5" xfId="2332" xr:uid="{00000000-0005-0000-0000-00001C090000}"/>
    <cellStyle name="Comma 5 2 3" xfId="2333" xr:uid="{00000000-0005-0000-0000-00001D090000}"/>
    <cellStyle name="Comma 5 2 3 2" xfId="2334" xr:uid="{00000000-0005-0000-0000-00001E090000}"/>
    <cellStyle name="Comma 5 2 3 2 2" xfId="2335" xr:uid="{00000000-0005-0000-0000-00001F090000}"/>
    <cellStyle name="Comma 5 2 3 3" xfId="2336" xr:uid="{00000000-0005-0000-0000-000020090000}"/>
    <cellStyle name="Comma 5 2 3 4" xfId="2337" xr:uid="{00000000-0005-0000-0000-000021090000}"/>
    <cellStyle name="Comma 5 2 4" xfId="2338" xr:uid="{00000000-0005-0000-0000-000022090000}"/>
    <cellStyle name="Comma 5 2 4 2" xfId="2339" xr:uid="{00000000-0005-0000-0000-000023090000}"/>
    <cellStyle name="Comma 5 2 5" xfId="2340" xr:uid="{00000000-0005-0000-0000-000024090000}"/>
    <cellStyle name="Comma 5 2 5 2" xfId="2341" xr:uid="{00000000-0005-0000-0000-000025090000}"/>
    <cellStyle name="Comma 5 2 6" xfId="2342" xr:uid="{00000000-0005-0000-0000-000026090000}"/>
    <cellStyle name="Comma 5 2 6 2" xfId="2343" xr:uid="{00000000-0005-0000-0000-000027090000}"/>
    <cellStyle name="Comma 5 2 7" xfId="2344" xr:uid="{00000000-0005-0000-0000-000028090000}"/>
    <cellStyle name="Comma 5 3" xfId="2345" xr:uid="{00000000-0005-0000-0000-000029090000}"/>
    <cellStyle name="Comma 5 4" xfId="2346" xr:uid="{00000000-0005-0000-0000-00002A090000}"/>
    <cellStyle name="Comma 5 5" xfId="2347" xr:uid="{00000000-0005-0000-0000-00002B090000}"/>
    <cellStyle name="Comma 5 6" xfId="2348" xr:uid="{00000000-0005-0000-0000-00002C090000}"/>
    <cellStyle name="Comma 5 6 2" xfId="2349" xr:uid="{00000000-0005-0000-0000-00002D090000}"/>
    <cellStyle name="Comma 5 6 2 2" xfId="2350" xr:uid="{00000000-0005-0000-0000-00002E090000}"/>
    <cellStyle name="Comma 5 6 2 2 2" xfId="2351" xr:uid="{00000000-0005-0000-0000-00002F090000}"/>
    <cellStyle name="Comma 5 6 2 2 2 2" xfId="2352" xr:uid="{00000000-0005-0000-0000-000030090000}"/>
    <cellStyle name="Comma 5 6 2 2 3" xfId="2353" xr:uid="{00000000-0005-0000-0000-000031090000}"/>
    <cellStyle name="Comma 5 6 2 2 4" xfId="2354" xr:uid="{00000000-0005-0000-0000-000032090000}"/>
    <cellStyle name="Comma 5 6 2 3" xfId="2355" xr:uid="{00000000-0005-0000-0000-000033090000}"/>
    <cellStyle name="Comma 5 6 2 3 2" xfId="2356" xr:uid="{00000000-0005-0000-0000-000034090000}"/>
    <cellStyle name="Comma 5 6 2 4" xfId="2357" xr:uid="{00000000-0005-0000-0000-000035090000}"/>
    <cellStyle name="Comma 5 6 2 5" xfId="2358" xr:uid="{00000000-0005-0000-0000-000036090000}"/>
    <cellStyle name="Comma 5 6 3" xfId="2359" xr:uid="{00000000-0005-0000-0000-000037090000}"/>
    <cellStyle name="Comma 5 6 3 2" xfId="2360" xr:uid="{00000000-0005-0000-0000-000038090000}"/>
    <cellStyle name="Comma 5 6 3 2 2" xfId="2361" xr:uid="{00000000-0005-0000-0000-000039090000}"/>
    <cellStyle name="Comma 5 6 3 3" xfId="2362" xr:uid="{00000000-0005-0000-0000-00003A090000}"/>
    <cellStyle name="Comma 5 6 3 4" xfId="2363" xr:uid="{00000000-0005-0000-0000-00003B090000}"/>
    <cellStyle name="Comma 5 6 4" xfId="2364" xr:uid="{00000000-0005-0000-0000-00003C090000}"/>
    <cellStyle name="Comma 5 6 4 2" xfId="2365" xr:uid="{00000000-0005-0000-0000-00003D090000}"/>
    <cellStyle name="Comma 5 6 5" xfId="2366" xr:uid="{00000000-0005-0000-0000-00003E090000}"/>
    <cellStyle name="Comma 5 6 6" xfId="2367" xr:uid="{00000000-0005-0000-0000-00003F090000}"/>
    <cellStyle name="Comma 5 7" xfId="2368" xr:uid="{00000000-0005-0000-0000-000040090000}"/>
    <cellStyle name="Comma 5 8" xfId="2369" xr:uid="{00000000-0005-0000-0000-000041090000}"/>
    <cellStyle name="Comma 5 8 2" xfId="2370" xr:uid="{00000000-0005-0000-0000-000042090000}"/>
    <cellStyle name="Comma 5 8 2 2" xfId="2371" xr:uid="{00000000-0005-0000-0000-000043090000}"/>
    <cellStyle name="Comma 5 8 3" xfId="2372" xr:uid="{00000000-0005-0000-0000-000044090000}"/>
    <cellStyle name="Comma 5 8 4" xfId="2373" xr:uid="{00000000-0005-0000-0000-000045090000}"/>
    <cellStyle name="Comma 50" xfId="2374" xr:uid="{00000000-0005-0000-0000-000046090000}"/>
    <cellStyle name="Comma 51" xfId="2375" xr:uid="{00000000-0005-0000-0000-000047090000}"/>
    <cellStyle name="Comma 52" xfId="2376" xr:uid="{00000000-0005-0000-0000-000048090000}"/>
    <cellStyle name="Comma 53" xfId="2977" xr:uid="{00000000-0005-0000-0000-000049090000}"/>
    <cellStyle name="Comma 6" xfId="2377" xr:uid="{00000000-0005-0000-0000-00004A090000}"/>
    <cellStyle name="Comma 6 2" xfId="2378" xr:uid="{00000000-0005-0000-0000-00004B090000}"/>
    <cellStyle name="Comma 6 3" xfId="2379" xr:uid="{00000000-0005-0000-0000-00004C090000}"/>
    <cellStyle name="Comma 6 4" xfId="2380" xr:uid="{00000000-0005-0000-0000-00004D090000}"/>
    <cellStyle name="Comma 6 5" xfId="2381" xr:uid="{00000000-0005-0000-0000-00004E090000}"/>
    <cellStyle name="Comma 6 6" xfId="2382" xr:uid="{00000000-0005-0000-0000-00004F090000}"/>
    <cellStyle name="Comma 7" xfId="2383" xr:uid="{00000000-0005-0000-0000-000050090000}"/>
    <cellStyle name="Comma 7 2" xfId="2384" xr:uid="{00000000-0005-0000-0000-000051090000}"/>
    <cellStyle name="Comma 7 2 2" xfId="2385" xr:uid="{00000000-0005-0000-0000-000052090000}"/>
    <cellStyle name="Comma 7 2 2 2" xfId="2386" xr:uid="{00000000-0005-0000-0000-000053090000}"/>
    <cellStyle name="Comma 7 2 2 2 2" xfId="2387" xr:uid="{00000000-0005-0000-0000-000054090000}"/>
    <cellStyle name="Comma 7 2 2 2 2 2" xfId="2388" xr:uid="{00000000-0005-0000-0000-000055090000}"/>
    <cellStyle name="Comma 7 2 2 2 3" xfId="2389" xr:uid="{00000000-0005-0000-0000-000056090000}"/>
    <cellStyle name="Comma 7 2 2 2 4" xfId="2390" xr:uid="{00000000-0005-0000-0000-000057090000}"/>
    <cellStyle name="Comma 7 2 2 3" xfId="2391" xr:uid="{00000000-0005-0000-0000-000058090000}"/>
    <cellStyle name="Comma 7 2 2 3 2" xfId="2392" xr:uid="{00000000-0005-0000-0000-000059090000}"/>
    <cellStyle name="Comma 7 2 2 4" xfId="2393" xr:uid="{00000000-0005-0000-0000-00005A090000}"/>
    <cellStyle name="Comma 7 2 2 5" xfId="2394" xr:uid="{00000000-0005-0000-0000-00005B090000}"/>
    <cellStyle name="Comma 7 2 3" xfId="2395" xr:uid="{00000000-0005-0000-0000-00005C090000}"/>
    <cellStyle name="Comma 7 2 3 2" xfId="2396" xr:uid="{00000000-0005-0000-0000-00005D090000}"/>
    <cellStyle name="Comma 7 2 3 2 2" xfId="2397" xr:uid="{00000000-0005-0000-0000-00005E090000}"/>
    <cellStyle name="Comma 7 2 3 3" xfId="2398" xr:uid="{00000000-0005-0000-0000-00005F090000}"/>
    <cellStyle name="Comma 7 2 3 4" xfId="2399" xr:uid="{00000000-0005-0000-0000-000060090000}"/>
    <cellStyle name="Comma 7 2 4" xfId="2400" xr:uid="{00000000-0005-0000-0000-000061090000}"/>
    <cellStyle name="Comma 7 2 4 2" xfId="2401" xr:uid="{00000000-0005-0000-0000-000062090000}"/>
    <cellStyle name="Comma 7 2 5" xfId="2402" xr:uid="{00000000-0005-0000-0000-000063090000}"/>
    <cellStyle name="Comma 7 2 6" xfId="2403" xr:uid="{00000000-0005-0000-0000-000064090000}"/>
    <cellStyle name="Comma 7 3" xfId="2404" xr:uid="{00000000-0005-0000-0000-000065090000}"/>
    <cellStyle name="Comma 7 4" xfId="2405" xr:uid="{00000000-0005-0000-0000-000066090000}"/>
    <cellStyle name="Comma 7 4 2" xfId="2406" xr:uid="{00000000-0005-0000-0000-000067090000}"/>
    <cellStyle name="Comma 7 5" xfId="2407" xr:uid="{00000000-0005-0000-0000-000068090000}"/>
    <cellStyle name="Comma 7 6" xfId="2408" xr:uid="{00000000-0005-0000-0000-000069090000}"/>
    <cellStyle name="Comma 8" xfId="2409" xr:uid="{00000000-0005-0000-0000-00006A090000}"/>
    <cellStyle name="Comma 8 2" xfId="2410" xr:uid="{00000000-0005-0000-0000-00006B090000}"/>
    <cellStyle name="Comma 8 2 2" xfId="2411" xr:uid="{00000000-0005-0000-0000-00006C090000}"/>
    <cellStyle name="Comma 8 2 2 2" xfId="2412" xr:uid="{00000000-0005-0000-0000-00006D090000}"/>
    <cellStyle name="Comma 8 2 2 2 2" xfId="2413" xr:uid="{00000000-0005-0000-0000-00006E090000}"/>
    <cellStyle name="Comma 8 2 2 3" xfId="2414" xr:uid="{00000000-0005-0000-0000-00006F090000}"/>
    <cellStyle name="Comma 8 2 2 4" xfId="2415" xr:uid="{00000000-0005-0000-0000-000070090000}"/>
    <cellStyle name="Comma 8 2 3" xfId="2416" xr:uid="{00000000-0005-0000-0000-000071090000}"/>
    <cellStyle name="Comma 8 2 3 2" xfId="2417" xr:uid="{00000000-0005-0000-0000-000072090000}"/>
    <cellStyle name="Comma 8 2 4" xfId="2418" xr:uid="{00000000-0005-0000-0000-000073090000}"/>
    <cellStyle name="Comma 8 2 5" xfId="2419" xr:uid="{00000000-0005-0000-0000-000074090000}"/>
    <cellStyle name="Comma 8 3" xfId="2420" xr:uid="{00000000-0005-0000-0000-000075090000}"/>
    <cellStyle name="Comma 8 3 2" xfId="2421" xr:uid="{00000000-0005-0000-0000-000076090000}"/>
    <cellStyle name="Comma 8 3 2 2" xfId="2422" xr:uid="{00000000-0005-0000-0000-000077090000}"/>
    <cellStyle name="Comma 8 3 3" xfId="2423" xr:uid="{00000000-0005-0000-0000-000078090000}"/>
    <cellStyle name="Comma 8 3 4" xfId="2424" xr:uid="{00000000-0005-0000-0000-000079090000}"/>
    <cellStyle name="Comma 8 4" xfId="2425" xr:uid="{00000000-0005-0000-0000-00007A090000}"/>
    <cellStyle name="Comma 8 4 2" xfId="2426" xr:uid="{00000000-0005-0000-0000-00007B090000}"/>
    <cellStyle name="Comma 8 5" xfId="2427" xr:uid="{00000000-0005-0000-0000-00007C090000}"/>
    <cellStyle name="Comma 8 5 2" xfId="2428" xr:uid="{00000000-0005-0000-0000-00007D090000}"/>
    <cellStyle name="Comma 8 6" xfId="2429" xr:uid="{00000000-0005-0000-0000-00007E090000}"/>
    <cellStyle name="Comma 8 6 2" xfId="2430" xr:uid="{00000000-0005-0000-0000-00007F090000}"/>
    <cellStyle name="Comma 8 7" xfId="2431" xr:uid="{00000000-0005-0000-0000-000080090000}"/>
    <cellStyle name="Comma 9" xfId="2432" xr:uid="{00000000-0005-0000-0000-000081090000}"/>
    <cellStyle name="Comma 9 2" xfId="2433" xr:uid="{00000000-0005-0000-0000-000082090000}"/>
    <cellStyle name="Comma 9 3" xfId="2434" xr:uid="{00000000-0005-0000-0000-000083090000}"/>
    <cellStyle name="Currency" xfId="2984" builtinId="4"/>
    <cellStyle name="Currency [0] 2" xfId="2435" xr:uid="{00000000-0005-0000-0000-000085090000}"/>
    <cellStyle name="Currency [0] 2 2" xfId="2436" xr:uid="{00000000-0005-0000-0000-000086090000}"/>
    <cellStyle name="Currency 2" xfId="2437" xr:uid="{00000000-0005-0000-0000-000087090000}"/>
    <cellStyle name="Currency 2 2" xfId="2438" xr:uid="{00000000-0005-0000-0000-000088090000}"/>
    <cellStyle name="Currency 3" xfId="2439" xr:uid="{00000000-0005-0000-0000-000089090000}"/>
    <cellStyle name="Currency 3 2" xfId="2440" xr:uid="{00000000-0005-0000-0000-00008A090000}"/>
    <cellStyle name="Currency 4" xfId="2441" xr:uid="{00000000-0005-0000-0000-00008B090000}"/>
    <cellStyle name="Currency 4 2" xfId="2442" xr:uid="{00000000-0005-0000-0000-00008C090000}"/>
    <cellStyle name="Currency 5" xfId="2443" xr:uid="{00000000-0005-0000-0000-00008D090000}"/>
    <cellStyle name="Explanatory Text 2" xfId="2444" xr:uid="{00000000-0005-0000-0000-00008E090000}"/>
    <cellStyle name="Explanatory Text 3" xfId="2445" xr:uid="{00000000-0005-0000-0000-00008F090000}"/>
    <cellStyle name="Good 2" xfId="2446" xr:uid="{00000000-0005-0000-0000-000090090000}"/>
    <cellStyle name="Good 3" xfId="2447" xr:uid="{00000000-0005-0000-0000-000091090000}"/>
    <cellStyle name="Heading 1 2" xfId="2448" xr:uid="{00000000-0005-0000-0000-000092090000}"/>
    <cellStyle name="Heading 1 3" xfId="2449" xr:uid="{00000000-0005-0000-0000-000093090000}"/>
    <cellStyle name="Heading 2 2" xfId="2450" xr:uid="{00000000-0005-0000-0000-000094090000}"/>
    <cellStyle name="Heading 2 3" xfId="2451" xr:uid="{00000000-0005-0000-0000-000095090000}"/>
    <cellStyle name="Heading 3 2" xfId="2452" xr:uid="{00000000-0005-0000-0000-000096090000}"/>
    <cellStyle name="Heading 3 3" xfId="2453" xr:uid="{00000000-0005-0000-0000-000097090000}"/>
    <cellStyle name="Heading 4 2" xfId="2454" xr:uid="{00000000-0005-0000-0000-000098090000}"/>
    <cellStyle name="Heading 4 3" xfId="2455" xr:uid="{00000000-0005-0000-0000-000099090000}"/>
    <cellStyle name="Hyperlink" xfId="2983" builtinId="8"/>
    <cellStyle name="Hyperlink 2" xfId="2456" xr:uid="{00000000-0005-0000-0000-00009B090000}"/>
    <cellStyle name="Hyperlink 2 2" xfId="2457" xr:uid="{00000000-0005-0000-0000-00009C090000}"/>
    <cellStyle name="Hyperlink 3" xfId="2458" xr:uid="{00000000-0005-0000-0000-00009D090000}"/>
    <cellStyle name="Hyperlink 3 2" xfId="2459" xr:uid="{00000000-0005-0000-0000-00009E090000}"/>
    <cellStyle name="Input 2" xfId="2460" xr:uid="{00000000-0005-0000-0000-00009F090000}"/>
    <cellStyle name="Input 3" xfId="2461" xr:uid="{00000000-0005-0000-0000-0000A0090000}"/>
    <cellStyle name="Linked Cell 2" xfId="2462" xr:uid="{00000000-0005-0000-0000-0000A1090000}"/>
    <cellStyle name="Linked Cell 3" xfId="2463" xr:uid="{00000000-0005-0000-0000-0000A2090000}"/>
    <cellStyle name="Neutral 2" xfId="2464" xr:uid="{00000000-0005-0000-0000-0000A3090000}"/>
    <cellStyle name="Neutral 3" xfId="2465" xr:uid="{00000000-0005-0000-0000-0000A4090000}"/>
    <cellStyle name="Normal" xfId="0" builtinId="0"/>
    <cellStyle name="Normal 10" xfId="2466" xr:uid="{00000000-0005-0000-0000-0000A6090000}"/>
    <cellStyle name="Normal 10 2" xfId="2467" xr:uid="{00000000-0005-0000-0000-0000A7090000}"/>
    <cellStyle name="Normal 11" xfId="2468" xr:uid="{00000000-0005-0000-0000-0000A8090000}"/>
    <cellStyle name="Normal 11 2" xfId="2469" xr:uid="{00000000-0005-0000-0000-0000A9090000}"/>
    <cellStyle name="Normal 12" xfId="2470" xr:uid="{00000000-0005-0000-0000-0000AA090000}"/>
    <cellStyle name="Normal 12 2" xfId="2471" xr:uid="{00000000-0005-0000-0000-0000AB090000}"/>
    <cellStyle name="Normal 13" xfId="2472" xr:uid="{00000000-0005-0000-0000-0000AC090000}"/>
    <cellStyle name="Normal 13 2" xfId="2473" xr:uid="{00000000-0005-0000-0000-0000AD090000}"/>
    <cellStyle name="Normal 13 2 2" xfId="2474" xr:uid="{00000000-0005-0000-0000-0000AE090000}"/>
    <cellStyle name="Normal 13 2 2 2" xfId="2475" xr:uid="{00000000-0005-0000-0000-0000AF090000}"/>
    <cellStyle name="Normal 13 2 2 2 2" xfId="2476" xr:uid="{00000000-0005-0000-0000-0000B0090000}"/>
    <cellStyle name="Normal 13 2 2 2 3" xfId="2981" xr:uid="{00000000-0005-0000-0000-0000B1090000}"/>
    <cellStyle name="Normal 13 2 2 3" xfId="2477" xr:uid="{00000000-0005-0000-0000-0000B2090000}"/>
    <cellStyle name="Normal 13 2 2 4" xfId="2478" xr:uid="{00000000-0005-0000-0000-0000B3090000}"/>
    <cellStyle name="Normal 13 2 3" xfId="2479" xr:uid="{00000000-0005-0000-0000-0000B4090000}"/>
    <cellStyle name="Normal 13 2 3 2" xfId="2480" xr:uid="{00000000-0005-0000-0000-0000B5090000}"/>
    <cellStyle name="Normal 13 2 4" xfId="2481" xr:uid="{00000000-0005-0000-0000-0000B6090000}"/>
    <cellStyle name="Normal 13 2 5" xfId="2482" xr:uid="{00000000-0005-0000-0000-0000B7090000}"/>
    <cellStyle name="Normal 13 3" xfId="2483" xr:uid="{00000000-0005-0000-0000-0000B8090000}"/>
    <cellStyle name="Normal 13 3 2" xfId="2484" xr:uid="{00000000-0005-0000-0000-0000B9090000}"/>
    <cellStyle name="Normal 13 3 2 2" xfId="2485" xr:uid="{00000000-0005-0000-0000-0000BA090000}"/>
    <cellStyle name="Normal 13 3 3" xfId="2486" xr:uid="{00000000-0005-0000-0000-0000BB090000}"/>
    <cellStyle name="Normal 13 3 4" xfId="2487" xr:uid="{00000000-0005-0000-0000-0000BC090000}"/>
    <cellStyle name="Normal 13 4" xfId="2488" xr:uid="{00000000-0005-0000-0000-0000BD090000}"/>
    <cellStyle name="Normal 13 4 2" xfId="2489" xr:uid="{00000000-0005-0000-0000-0000BE090000}"/>
    <cellStyle name="Normal 13 5" xfId="2490" xr:uid="{00000000-0005-0000-0000-0000BF090000}"/>
    <cellStyle name="Normal 13 6" xfId="2491" xr:uid="{00000000-0005-0000-0000-0000C0090000}"/>
    <cellStyle name="Normal 14" xfId="2492" xr:uid="{00000000-0005-0000-0000-0000C1090000}"/>
    <cellStyle name="Normal 14 2" xfId="2493" xr:uid="{00000000-0005-0000-0000-0000C2090000}"/>
    <cellStyle name="Normal 15" xfId="2494" xr:uid="{00000000-0005-0000-0000-0000C3090000}"/>
    <cellStyle name="Normal 15 2" xfId="2495" xr:uid="{00000000-0005-0000-0000-0000C4090000}"/>
    <cellStyle name="Normal 15 3" xfId="2496" xr:uid="{00000000-0005-0000-0000-0000C5090000}"/>
    <cellStyle name="Normal 16" xfId="2497" xr:uid="{00000000-0005-0000-0000-0000C6090000}"/>
    <cellStyle name="Normal 16 2" xfId="2498" xr:uid="{00000000-0005-0000-0000-0000C7090000}"/>
    <cellStyle name="Normal 16 2 2" xfId="2499" xr:uid="{00000000-0005-0000-0000-0000C8090000}"/>
    <cellStyle name="Normal 16 3" xfId="2500" xr:uid="{00000000-0005-0000-0000-0000C9090000}"/>
    <cellStyle name="Normal 16 4" xfId="2501" xr:uid="{00000000-0005-0000-0000-0000CA090000}"/>
    <cellStyle name="Normal 17" xfId="2502" xr:uid="{00000000-0005-0000-0000-0000CB090000}"/>
    <cellStyle name="Normal 18" xfId="2503" xr:uid="{00000000-0005-0000-0000-0000CC090000}"/>
    <cellStyle name="Normal 18 2" xfId="2504" xr:uid="{00000000-0005-0000-0000-0000CD090000}"/>
    <cellStyle name="Normal 19" xfId="2505" xr:uid="{00000000-0005-0000-0000-0000CE090000}"/>
    <cellStyle name="Normal 2" xfId="2506" xr:uid="{00000000-0005-0000-0000-0000CF090000}"/>
    <cellStyle name="Normal 2 2" xfId="2507" xr:uid="{00000000-0005-0000-0000-0000D0090000}"/>
    <cellStyle name="Normal 2 3" xfId="2508" xr:uid="{00000000-0005-0000-0000-0000D1090000}"/>
    <cellStyle name="Normal 2 4" xfId="2509" xr:uid="{00000000-0005-0000-0000-0000D2090000}"/>
    <cellStyle name="Normal 3" xfId="2510" xr:uid="{00000000-0005-0000-0000-0000D3090000}"/>
    <cellStyle name="Normal 3 10" xfId="2511" xr:uid="{00000000-0005-0000-0000-0000D4090000}"/>
    <cellStyle name="Normal 3 10 2" xfId="2512" xr:uid="{00000000-0005-0000-0000-0000D5090000}"/>
    <cellStyle name="Normal 3 10 2 2" xfId="2513" xr:uid="{00000000-0005-0000-0000-0000D6090000}"/>
    <cellStyle name="Normal 3 10 3" xfId="2514" xr:uid="{00000000-0005-0000-0000-0000D7090000}"/>
    <cellStyle name="Normal 3 10 4" xfId="2515" xr:uid="{00000000-0005-0000-0000-0000D8090000}"/>
    <cellStyle name="Normal 3 11" xfId="2516" xr:uid="{00000000-0005-0000-0000-0000D9090000}"/>
    <cellStyle name="Normal 3 11 2" xfId="2517" xr:uid="{00000000-0005-0000-0000-0000DA090000}"/>
    <cellStyle name="Normal 3 12" xfId="2518" xr:uid="{00000000-0005-0000-0000-0000DB090000}"/>
    <cellStyle name="Normal 3 12 2" xfId="2519" xr:uid="{00000000-0005-0000-0000-0000DC090000}"/>
    <cellStyle name="Normal 3 13" xfId="2520" xr:uid="{00000000-0005-0000-0000-0000DD090000}"/>
    <cellStyle name="Normal 3 14" xfId="2521" xr:uid="{00000000-0005-0000-0000-0000DE090000}"/>
    <cellStyle name="Normal 3 2" xfId="2522" xr:uid="{00000000-0005-0000-0000-0000DF090000}"/>
    <cellStyle name="Normal 3 2 2" xfId="2523" xr:uid="{00000000-0005-0000-0000-0000E0090000}"/>
    <cellStyle name="Normal 3 2 2 2" xfId="2524" xr:uid="{00000000-0005-0000-0000-0000E1090000}"/>
    <cellStyle name="Normal 3 2 2 2 2" xfId="2525" xr:uid="{00000000-0005-0000-0000-0000E2090000}"/>
    <cellStyle name="Normal 3 2 2 2 2 2" xfId="2526" xr:uid="{00000000-0005-0000-0000-0000E3090000}"/>
    <cellStyle name="Normal 3 2 2 2 3" xfId="2527" xr:uid="{00000000-0005-0000-0000-0000E4090000}"/>
    <cellStyle name="Normal 3 2 2 2 4" xfId="2528" xr:uid="{00000000-0005-0000-0000-0000E5090000}"/>
    <cellStyle name="Normal 3 2 2 3" xfId="2529" xr:uid="{00000000-0005-0000-0000-0000E6090000}"/>
    <cellStyle name="Normal 3 2 2 3 2" xfId="2530" xr:uid="{00000000-0005-0000-0000-0000E7090000}"/>
    <cellStyle name="Normal 3 2 2 4" xfId="2531" xr:uid="{00000000-0005-0000-0000-0000E8090000}"/>
    <cellStyle name="Normal 3 2 2 5" xfId="2532" xr:uid="{00000000-0005-0000-0000-0000E9090000}"/>
    <cellStyle name="Normal 3 2 3" xfId="2533" xr:uid="{00000000-0005-0000-0000-0000EA090000}"/>
    <cellStyle name="Normal 3 2 3 2" xfId="2534" xr:uid="{00000000-0005-0000-0000-0000EB090000}"/>
    <cellStyle name="Normal 3 2 3 2 2" xfId="2535" xr:uid="{00000000-0005-0000-0000-0000EC090000}"/>
    <cellStyle name="Normal 3 2 3 3" xfId="2536" xr:uid="{00000000-0005-0000-0000-0000ED090000}"/>
    <cellStyle name="Normal 3 2 3 4" xfId="2537" xr:uid="{00000000-0005-0000-0000-0000EE090000}"/>
    <cellStyle name="Normal 3 2 4" xfId="2538" xr:uid="{00000000-0005-0000-0000-0000EF090000}"/>
    <cellStyle name="Normal 3 2 4 2" xfId="2539" xr:uid="{00000000-0005-0000-0000-0000F0090000}"/>
    <cellStyle name="Normal 3 2 5" xfId="2540" xr:uid="{00000000-0005-0000-0000-0000F1090000}"/>
    <cellStyle name="Normal 3 2 5 2" xfId="2541" xr:uid="{00000000-0005-0000-0000-0000F2090000}"/>
    <cellStyle name="Normal 3 2 6" xfId="2542" xr:uid="{00000000-0005-0000-0000-0000F3090000}"/>
    <cellStyle name="Normal 3 2 7" xfId="2543" xr:uid="{00000000-0005-0000-0000-0000F4090000}"/>
    <cellStyle name="Normal 3 3" xfId="2544" xr:uid="{00000000-0005-0000-0000-0000F5090000}"/>
    <cellStyle name="Normal 3 3 2" xfId="2545" xr:uid="{00000000-0005-0000-0000-0000F6090000}"/>
    <cellStyle name="Normal 3 3 2 2" xfId="2546" xr:uid="{00000000-0005-0000-0000-0000F7090000}"/>
    <cellStyle name="Normal 3 3 2 2 2" xfId="2547" xr:uid="{00000000-0005-0000-0000-0000F8090000}"/>
    <cellStyle name="Normal 3 3 2 2 2 2" xfId="2548" xr:uid="{00000000-0005-0000-0000-0000F9090000}"/>
    <cellStyle name="Normal 3 3 2 2 3" xfId="2549" xr:uid="{00000000-0005-0000-0000-0000FA090000}"/>
    <cellStyle name="Normal 3 3 2 2 4" xfId="2550" xr:uid="{00000000-0005-0000-0000-0000FB090000}"/>
    <cellStyle name="Normal 3 3 2 3" xfId="2551" xr:uid="{00000000-0005-0000-0000-0000FC090000}"/>
    <cellStyle name="Normal 3 3 2 3 2" xfId="2552" xr:uid="{00000000-0005-0000-0000-0000FD090000}"/>
    <cellStyle name="Normal 3 3 2 4" xfId="2553" xr:uid="{00000000-0005-0000-0000-0000FE090000}"/>
    <cellStyle name="Normal 3 3 2 5" xfId="2554" xr:uid="{00000000-0005-0000-0000-0000FF090000}"/>
    <cellStyle name="Normal 3 3 3" xfId="2555" xr:uid="{00000000-0005-0000-0000-0000000A0000}"/>
    <cellStyle name="Normal 3 3 3 2" xfId="2556" xr:uid="{00000000-0005-0000-0000-0000010A0000}"/>
    <cellStyle name="Normal 3 3 3 2 2" xfId="2557" xr:uid="{00000000-0005-0000-0000-0000020A0000}"/>
    <cellStyle name="Normal 3 3 3 3" xfId="2558" xr:uid="{00000000-0005-0000-0000-0000030A0000}"/>
    <cellStyle name="Normal 3 3 3 4" xfId="2559" xr:uid="{00000000-0005-0000-0000-0000040A0000}"/>
    <cellStyle name="Normal 3 3 4" xfId="2560" xr:uid="{00000000-0005-0000-0000-0000050A0000}"/>
    <cellStyle name="Normal 3 3 4 2" xfId="2561" xr:uid="{00000000-0005-0000-0000-0000060A0000}"/>
    <cellStyle name="Normal 3 3 5" xfId="2562" xr:uid="{00000000-0005-0000-0000-0000070A0000}"/>
    <cellStyle name="Normal 3 3 5 2" xfId="2563" xr:uid="{00000000-0005-0000-0000-0000080A0000}"/>
    <cellStyle name="Normal 3 3 6" xfId="2564" xr:uid="{00000000-0005-0000-0000-0000090A0000}"/>
    <cellStyle name="Normal 3 3 7" xfId="2565" xr:uid="{00000000-0005-0000-0000-00000A0A0000}"/>
    <cellStyle name="Normal 3 4" xfId="2566" xr:uid="{00000000-0005-0000-0000-00000B0A0000}"/>
    <cellStyle name="Normal 3 4 2" xfId="2567" xr:uid="{00000000-0005-0000-0000-00000C0A0000}"/>
    <cellStyle name="Normal 3 4 2 2" xfId="2568" xr:uid="{00000000-0005-0000-0000-00000D0A0000}"/>
    <cellStyle name="Normal 3 4 2 2 2" xfId="2569" xr:uid="{00000000-0005-0000-0000-00000E0A0000}"/>
    <cellStyle name="Normal 3 4 2 2 2 2" xfId="2570" xr:uid="{00000000-0005-0000-0000-00000F0A0000}"/>
    <cellStyle name="Normal 3 4 2 2 3" xfId="2571" xr:uid="{00000000-0005-0000-0000-0000100A0000}"/>
    <cellStyle name="Normal 3 4 2 2 4" xfId="2572" xr:uid="{00000000-0005-0000-0000-0000110A0000}"/>
    <cellStyle name="Normal 3 4 2 3" xfId="2573" xr:uid="{00000000-0005-0000-0000-0000120A0000}"/>
    <cellStyle name="Normal 3 4 2 3 2" xfId="2574" xr:uid="{00000000-0005-0000-0000-0000130A0000}"/>
    <cellStyle name="Normal 3 4 2 4" xfId="2575" xr:uid="{00000000-0005-0000-0000-0000140A0000}"/>
    <cellStyle name="Normal 3 4 2 5" xfId="2576" xr:uid="{00000000-0005-0000-0000-0000150A0000}"/>
    <cellStyle name="Normal 3 4 3" xfId="2577" xr:uid="{00000000-0005-0000-0000-0000160A0000}"/>
    <cellStyle name="Normal 3 4 3 2" xfId="2578" xr:uid="{00000000-0005-0000-0000-0000170A0000}"/>
    <cellStyle name="Normal 3 4 3 2 2" xfId="2579" xr:uid="{00000000-0005-0000-0000-0000180A0000}"/>
    <cellStyle name="Normal 3 4 3 3" xfId="2580" xr:uid="{00000000-0005-0000-0000-0000190A0000}"/>
    <cellStyle name="Normal 3 4 3 4" xfId="2581" xr:uid="{00000000-0005-0000-0000-00001A0A0000}"/>
    <cellStyle name="Normal 3 4 4" xfId="2582" xr:uid="{00000000-0005-0000-0000-00001B0A0000}"/>
    <cellStyle name="Normal 3 4 4 2" xfId="2583" xr:uid="{00000000-0005-0000-0000-00001C0A0000}"/>
    <cellStyle name="Normal 3 4 5" xfId="2584" xr:uid="{00000000-0005-0000-0000-00001D0A0000}"/>
    <cellStyle name="Normal 3 4 5 2" xfId="2585" xr:uid="{00000000-0005-0000-0000-00001E0A0000}"/>
    <cellStyle name="Normal 3 4 6" xfId="2586" xr:uid="{00000000-0005-0000-0000-00001F0A0000}"/>
    <cellStyle name="Normal 3 4 7" xfId="2587" xr:uid="{00000000-0005-0000-0000-0000200A0000}"/>
    <cellStyle name="Normal 3 5" xfId="2588" xr:uid="{00000000-0005-0000-0000-0000210A0000}"/>
    <cellStyle name="Normal 3 5 2" xfId="2589" xr:uid="{00000000-0005-0000-0000-0000220A0000}"/>
    <cellStyle name="Normal 3 5 2 2" xfId="2590" xr:uid="{00000000-0005-0000-0000-0000230A0000}"/>
    <cellStyle name="Normal 3 5 2 2 2" xfId="2591" xr:uid="{00000000-0005-0000-0000-0000240A0000}"/>
    <cellStyle name="Normal 3 5 2 2 2 2" xfId="2592" xr:uid="{00000000-0005-0000-0000-0000250A0000}"/>
    <cellStyle name="Normal 3 5 2 2 3" xfId="2593" xr:uid="{00000000-0005-0000-0000-0000260A0000}"/>
    <cellStyle name="Normal 3 5 2 2 4" xfId="2594" xr:uid="{00000000-0005-0000-0000-0000270A0000}"/>
    <cellStyle name="Normal 3 5 2 3" xfId="2595" xr:uid="{00000000-0005-0000-0000-0000280A0000}"/>
    <cellStyle name="Normal 3 5 2 3 2" xfId="2596" xr:uid="{00000000-0005-0000-0000-0000290A0000}"/>
    <cellStyle name="Normal 3 5 2 4" xfId="2597" xr:uid="{00000000-0005-0000-0000-00002A0A0000}"/>
    <cellStyle name="Normal 3 5 2 5" xfId="2598" xr:uid="{00000000-0005-0000-0000-00002B0A0000}"/>
    <cellStyle name="Normal 3 5 3" xfId="2599" xr:uid="{00000000-0005-0000-0000-00002C0A0000}"/>
    <cellStyle name="Normal 3 5 3 2" xfId="2600" xr:uid="{00000000-0005-0000-0000-00002D0A0000}"/>
    <cellStyle name="Normal 3 5 3 2 2" xfId="2601" xr:uid="{00000000-0005-0000-0000-00002E0A0000}"/>
    <cellStyle name="Normal 3 5 3 3" xfId="2602" xr:uid="{00000000-0005-0000-0000-00002F0A0000}"/>
    <cellStyle name="Normal 3 5 3 4" xfId="2603" xr:uid="{00000000-0005-0000-0000-0000300A0000}"/>
    <cellStyle name="Normal 3 5 4" xfId="2604" xr:uid="{00000000-0005-0000-0000-0000310A0000}"/>
    <cellStyle name="Normal 3 5 4 2" xfId="2605" xr:uid="{00000000-0005-0000-0000-0000320A0000}"/>
    <cellStyle name="Normal 3 5 5" xfId="2606" xr:uid="{00000000-0005-0000-0000-0000330A0000}"/>
    <cellStyle name="Normal 3 5 6" xfId="2607" xr:uid="{00000000-0005-0000-0000-0000340A0000}"/>
    <cellStyle name="Normal 3 6" xfId="2608" xr:uid="{00000000-0005-0000-0000-0000350A0000}"/>
    <cellStyle name="Normal 3 6 2" xfId="2609" xr:uid="{00000000-0005-0000-0000-0000360A0000}"/>
    <cellStyle name="Normal 3 6 2 2" xfId="2610" xr:uid="{00000000-0005-0000-0000-0000370A0000}"/>
    <cellStyle name="Normal 3 6 2 2 2" xfId="2611" xr:uid="{00000000-0005-0000-0000-0000380A0000}"/>
    <cellStyle name="Normal 3 6 2 2 2 2" xfId="2612" xr:uid="{00000000-0005-0000-0000-0000390A0000}"/>
    <cellStyle name="Normal 3 6 2 2 3" xfId="2613" xr:uid="{00000000-0005-0000-0000-00003A0A0000}"/>
    <cellStyle name="Normal 3 6 2 2 4" xfId="2614" xr:uid="{00000000-0005-0000-0000-00003B0A0000}"/>
    <cellStyle name="Normal 3 6 2 3" xfId="2615" xr:uid="{00000000-0005-0000-0000-00003C0A0000}"/>
    <cellStyle name="Normal 3 6 2 3 2" xfId="2616" xr:uid="{00000000-0005-0000-0000-00003D0A0000}"/>
    <cellStyle name="Normal 3 6 2 4" xfId="2617" xr:uid="{00000000-0005-0000-0000-00003E0A0000}"/>
    <cellStyle name="Normal 3 6 2 5" xfId="2618" xr:uid="{00000000-0005-0000-0000-00003F0A0000}"/>
    <cellStyle name="Normal 3 6 3" xfId="2619" xr:uid="{00000000-0005-0000-0000-0000400A0000}"/>
    <cellStyle name="Normal 3 6 3 2" xfId="2620" xr:uid="{00000000-0005-0000-0000-0000410A0000}"/>
    <cellStyle name="Normal 3 6 3 2 2" xfId="2621" xr:uid="{00000000-0005-0000-0000-0000420A0000}"/>
    <cellStyle name="Normal 3 6 3 3" xfId="2622" xr:uid="{00000000-0005-0000-0000-0000430A0000}"/>
    <cellStyle name="Normal 3 6 3 4" xfId="2623" xr:uid="{00000000-0005-0000-0000-0000440A0000}"/>
    <cellStyle name="Normal 3 6 4" xfId="2624" xr:uid="{00000000-0005-0000-0000-0000450A0000}"/>
    <cellStyle name="Normal 3 6 4 2" xfId="2625" xr:uid="{00000000-0005-0000-0000-0000460A0000}"/>
    <cellStyle name="Normal 3 6 5" xfId="2626" xr:uid="{00000000-0005-0000-0000-0000470A0000}"/>
    <cellStyle name="Normal 3 6 6" xfId="2627" xr:uid="{00000000-0005-0000-0000-0000480A0000}"/>
    <cellStyle name="Normal 3 7" xfId="2628" xr:uid="{00000000-0005-0000-0000-0000490A0000}"/>
    <cellStyle name="Normal 3 7 2" xfId="2629" xr:uid="{00000000-0005-0000-0000-00004A0A0000}"/>
    <cellStyle name="Normal 3 7 2 2" xfId="2630" xr:uid="{00000000-0005-0000-0000-00004B0A0000}"/>
    <cellStyle name="Normal 3 7 2 2 2" xfId="2631" xr:uid="{00000000-0005-0000-0000-00004C0A0000}"/>
    <cellStyle name="Normal 3 7 2 2 2 2" xfId="2632" xr:uid="{00000000-0005-0000-0000-00004D0A0000}"/>
    <cellStyle name="Normal 3 7 2 2 3" xfId="2633" xr:uid="{00000000-0005-0000-0000-00004E0A0000}"/>
    <cellStyle name="Normal 3 7 2 2 4" xfId="2634" xr:uid="{00000000-0005-0000-0000-00004F0A0000}"/>
    <cellStyle name="Normal 3 7 2 3" xfId="2635" xr:uid="{00000000-0005-0000-0000-0000500A0000}"/>
    <cellStyle name="Normal 3 7 2 3 2" xfId="2636" xr:uid="{00000000-0005-0000-0000-0000510A0000}"/>
    <cellStyle name="Normal 3 7 2 4" xfId="2637" xr:uid="{00000000-0005-0000-0000-0000520A0000}"/>
    <cellStyle name="Normal 3 7 2 5" xfId="2638" xr:uid="{00000000-0005-0000-0000-0000530A0000}"/>
    <cellStyle name="Normal 3 7 3" xfId="2639" xr:uid="{00000000-0005-0000-0000-0000540A0000}"/>
    <cellStyle name="Normal 3 7 3 2" xfId="2640" xr:uid="{00000000-0005-0000-0000-0000550A0000}"/>
    <cellStyle name="Normal 3 7 3 2 2" xfId="2641" xr:uid="{00000000-0005-0000-0000-0000560A0000}"/>
    <cellStyle name="Normal 3 7 3 3" xfId="2642" xr:uid="{00000000-0005-0000-0000-0000570A0000}"/>
    <cellStyle name="Normal 3 7 3 4" xfId="2643" xr:uid="{00000000-0005-0000-0000-0000580A0000}"/>
    <cellStyle name="Normal 3 7 4" xfId="2644" xr:uid="{00000000-0005-0000-0000-0000590A0000}"/>
    <cellStyle name="Normal 3 7 4 2" xfId="2645" xr:uid="{00000000-0005-0000-0000-00005A0A0000}"/>
    <cellStyle name="Normal 3 7 5" xfId="2646" xr:uid="{00000000-0005-0000-0000-00005B0A0000}"/>
    <cellStyle name="Normal 3 7 6" xfId="2647" xr:uid="{00000000-0005-0000-0000-00005C0A0000}"/>
    <cellStyle name="Normal 3 8" xfId="2648" xr:uid="{00000000-0005-0000-0000-00005D0A0000}"/>
    <cellStyle name="Normal 3 8 2" xfId="2649" xr:uid="{00000000-0005-0000-0000-00005E0A0000}"/>
    <cellStyle name="Normal 3 8 2 2" xfId="2650" xr:uid="{00000000-0005-0000-0000-00005F0A0000}"/>
    <cellStyle name="Normal 3 8 2 2 2" xfId="2651" xr:uid="{00000000-0005-0000-0000-0000600A0000}"/>
    <cellStyle name="Normal 3 8 2 3" xfId="2652" xr:uid="{00000000-0005-0000-0000-0000610A0000}"/>
    <cellStyle name="Normal 3 8 2 4" xfId="2653" xr:uid="{00000000-0005-0000-0000-0000620A0000}"/>
    <cellStyle name="Normal 3 8 3" xfId="2654" xr:uid="{00000000-0005-0000-0000-0000630A0000}"/>
    <cellStyle name="Normal 3 8 3 2" xfId="2655" xr:uid="{00000000-0005-0000-0000-0000640A0000}"/>
    <cellStyle name="Normal 3 8 4" xfId="2656" xr:uid="{00000000-0005-0000-0000-0000650A0000}"/>
    <cellStyle name="Normal 3 8 5" xfId="2657" xr:uid="{00000000-0005-0000-0000-0000660A0000}"/>
    <cellStyle name="Normal 3 9" xfId="2658" xr:uid="{00000000-0005-0000-0000-0000670A0000}"/>
    <cellStyle name="Normal 3 9 2" xfId="2659" xr:uid="{00000000-0005-0000-0000-0000680A0000}"/>
    <cellStyle name="Normal 3 9 2 2" xfId="2660" xr:uid="{00000000-0005-0000-0000-0000690A0000}"/>
    <cellStyle name="Normal 3 9 2 2 2" xfId="2661" xr:uid="{00000000-0005-0000-0000-00006A0A0000}"/>
    <cellStyle name="Normal 3 9 2 3" xfId="2662" xr:uid="{00000000-0005-0000-0000-00006B0A0000}"/>
    <cellStyle name="Normal 3 9 2 4" xfId="2663" xr:uid="{00000000-0005-0000-0000-00006C0A0000}"/>
    <cellStyle name="Normal 3 9 3" xfId="2664" xr:uid="{00000000-0005-0000-0000-00006D0A0000}"/>
    <cellStyle name="Normal 3 9 3 2" xfId="2665" xr:uid="{00000000-0005-0000-0000-00006E0A0000}"/>
    <cellStyle name="Normal 3 9 4" xfId="2666" xr:uid="{00000000-0005-0000-0000-00006F0A0000}"/>
    <cellStyle name="Normal 3 9 5" xfId="2667" xr:uid="{00000000-0005-0000-0000-0000700A0000}"/>
    <cellStyle name="Normal 4" xfId="2668" xr:uid="{00000000-0005-0000-0000-0000710A0000}"/>
    <cellStyle name="Normal 4 2" xfId="2669" xr:uid="{00000000-0005-0000-0000-0000720A0000}"/>
    <cellStyle name="Normal 5" xfId="2670" xr:uid="{00000000-0005-0000-0000-0000730A0000}"/>
    <cellStyle name="Normal 5 2" xfId="2671" xr:uid="{00000000-0005-0000-0000-0000740A0000}"/>
    <cellStyle name="Normal 5 3" xfId="2672" xr:uid="{00000000-0005-0000-0000-0000750A0000}"/>
    <cellStyle name="Normal 5 4" xfId="2673" xr:uid="{00000000-0005-0000-0000-0000760A0000}"/>
    <cellStyle name="Normal 6" xfId="2674" xr:uid="{00000000-0005-0000-0000-0000770A0000}"/>
    <cellStyle name="Normal 6 10" xfId="2675" xr:uid="{00000000-0005-0000-0000-0000780A0000}"/>
    <cellStyle name="Normal 6 10 2" xfId="2676" xr:uid="{00000000-0005-0000-0000-0000790A0000}"/>
    <cellStyle name="Normal 6 11" xfId="2677" xr:uid="{00000000-0005-0000-0000-00007A0A0000}"/>
    <cellStyle name="Normal 6 2" xfId="2678" xr:uid="{00000000-0005-0000-0000-00007B0A0000}"/>
    <cellStyle name="Normal 6 2 2" xfId="2679" xr:uid="{00000000-0005-0000-0000-00007C0A0000}"/>
    <cellStyle name="Normal 6 2 2 2" xfId="2680" xr:uid="{00000000-0005-0000-0000-00007D0A0000}"/>
    <cellStyle name="Normal 6 2 2 2 2" xfId="2681" xr:uid="{00000000-0005-0000-0000-00007E0A0000}"/>
    <cellStyle name="Normal 6 2 2 2 2 2" xfId="2682" xr:uid="{00000000-0005-0000-0000-00007F0A0000}"/>
    <cellStyle name="Normal 6 2 2 2 2 2 2" xfId="2683" xr:uid="{00000000-0005-0000-0000-0000800A0000}"/>
    <cellStyle name="Normal 6 2 2 2 2 3" xfId="2684" xr:uid="{00000000-0005-0000-0000-0000810A0000}"/>
    <cellStyle name="Normal 6 2 2 2 2 4" xfId="2685" xr:uid="{00000000-0005-0000-0000-0000820A0000}"/>
    <cellStyle name="Normal 6 2 2 2 3" xfId="2686" xr:uid="{00000000-0005-0000-0000-0000830A0000}"/>
    <cellStyle name="Normal 6 2 2 2 3 2" xfId="2687" xr:uid="{00000000-0005-0000-0000-0000840A0000}"/>
    <cellStyle name="Normal 6 2 2 2 4" xfId="2688" xr:uid="{00000000-0005-0000-0000-0000850A0000}"/>
    <cellStyle name="Normal 6 2 2 2 5" xfId="2689" xr:uid="{00000000-0005-0000-0000-0000860A0000}"/>
    <cellStyle name="Normal 6 2 2 3" xfId="2690" xr:uid="{00000000-0005-0000-0000-0000870A0000}"/>
    <cellStyle name="Normal 6 2 2 3 2" xfId="2691" xr:uid="{00000000-0005-0000-0000-0000880A0000}"/>
    <cellStyle name="Normal 6 2 2 3 2 2" xfId="2692" xr:uid="{00000000-0005-0000-0000-0000890A0000}"/>
    <cellStyle name="Normal 6 2 2 3 3" xfId="2693" xr:uid="{00000000-0005-0000-0000-00008A0A0000}"/>
    <cellStyle name="Normal 6 2 2 3 4" xfId="2694" xr:uid="{00000000-0005-0000-0000-00008B0A0000}"/>
    <cellStyle name="Normal 6 2 2 4" xfId="2695" xr:uid="{00000000-0005-0000-0000-00008C0A0000}"/>
    <cellStyle name="Normal 6 2 2 4 2" xfId="2696" xr:uid="{00000000-0005-0000-0000-00008D0A0000}"/>
    <cellStyle name="Normal 6 2 2 5" xfId="2697" xr:uid="{00000000-0005-0000-0000-00008E0A0000}"/>
    <cellStyle name="Normal 6 2 2 5 2" xfId="2698" xr:uid="{00000000-0005-0000-0000-00008F0A0000}"/>
    <cellStyle name="Normal 6 2 2 6" xfId="2699" xr:uid="{00000000-0005-0000-0000-0000900A0000}"/>
    <cellStyle name="Normal 6 2 2 7" xfId="2700" xr:uid="{00000000-0005-0000-0000-0000910A0000}"/>
    <cellStyle name="Normal 6 2 3" xfId="2701" xr:uid="{00000000-0005-0000-0000-0000920A0000}"/>
    <cellStyle name="Normal 6 2 3 2" xfId="2702" xr:uid="{00000000-0005-0000-0000-0000930A0000}"/>
    <cellStyle name="Normal 6 2 3 2 2" xfId="2703" xr:uid="{00000000-0005-0000-0000-0000940A0000}"/>
    <cellStyle name="Normal 6 2 3 2 2 2" xfId="2704" xr:uid="{00000000-0005-0000-0000-0000950A0000}"/>
    <cellStyle name="Normal 6 2 3 2 3" xfId="2705" xr:uid="{00000000-0005-0000-0000-0000960A0000}"/>
    <cellStyle name="Normal 6 2 3 2 4" xfId="2706" xr:uid="{00000000-0005-0000-0000-0000970A0000}"/>
    <cellStyle name="Normal 6 2 3 3" xfId="2707" xr:uid="{00000000-0005-0000-0000-0000980A0000}"/>
    <cellStyle name="Normal 6 2 3 3 2" xfId="2708" xr:uid="{00000000-0005-0000-0000-0000990A0000}"/>
    <cellStyle name="Normal 6 2 3 4" xfId="2709" xr:uid="{00000000-0005-0000-0000-00009A0A0000}"/>
    <cellStyle name="Normal 6 2 3 5" xfId="2710" xr:uid="{00000000-0005-0000-0000-00009B0A0000}"/>
    <cellStyle name="Normal 6 2 4" xfId="2711" xr:uid="{00000000-0005-0000-0000-00009C0A0000}"/>
    <cellStyle name="Normal 6 2 4 2" xfId="2712" xr:uid="{00000000-0005-0000-0000-00009D0A0000}"/>
    <cellStyle name="Normal 6 2 4 2 2" xfId="2713" xr:uid="{00000000-0005-0000-0000-00009E0A0000}"/>
    <cellStyle name="Normal 6 2 4 3" xfId="2714" xr:uid="{00000000-0005-0000-0000-00009F0A0000}"/>
    <cellStyle name="Normal 6 2 4 4" xfId="2715" xr:uid="{00000000-0005-0000-0000-0000A00A0000}"/>
    <cellStyle name="Normal 6 2 5" xfId="2716" xr:uid="{00000000-0005-0000-0000-0000A10A0000}"/>
    <cellStyle name="Normal 6 2 5 2" xfId="2717" xr:uid="{00000000-0005-0000-0000-0000A20A0000}"/>
    <cellStyle name="Normal 6 2 6" xfId="2718" xr:uid="{00000000-0005-0000-0000-0000A30A0000}"/>
    <cellStyle name="Normal 6 2 6 2" xfId="2719" xr:uid="{00000000-0005-0000-0000-0000A40A0000}"/>
    <cellStyle name="Normal 6 2 7" xfId="2720" xr:uid="{00000000-0005-0000-0000-0000A50A0000}"/>
    <cellStyle name="Normal 6 2 8" xfId="2721" xr:uid="{00000000-0005-0000-0000-0000A60A0000}"/>
    <cellStyle name="Normal 6 3" xfId="2722" xr:uid="{00000000-0005-0000-0000-0000A70A0000}"/>
    <cellStyle name="Normal 6 3 2" xfId="2723" xr:uid="{00000000-0005-0000-0000-0000A80A0000}"/>
    <cellStyle name="Normal 6 3 2 2" xfId="2724" xr:uid="{00000000-0005-0000-0000-0000A90A0000}"/>
    <cellStyle name="Normal 6 3 2 2 2" xfId="2725" xr:uid="{00000000-0005-0000-0000-0000AA0A0000}"/>
    <cellStyle name="Normal 6 3 2 2 2 2" xfId="2726" xr:uid="{00000000-0005-0000-0000-0000AB0A0000}"/>
    <cellStyle name="Normal 6 3 2 2 3" xfId="2727" xr:uid="{00000000-0005-0000-0000-0000AC0A0000}"/>
    <cellStyle name="Normal 6 3 2 2 4" xfId="2728" xr:uid="{00000000-0005-0000-0000-0000AD0A0000}"/>
    <cellStyle name="Normal 6 3 2 3" xfId="2729" xr:uid="{00000000-0005-0000-0000-0000AE0A0000}"/>
    <cellStyle name="Normal 6 3 2 3 2" xfId="2730" xr:uid="{00000000-0005-0000-0000-0000AF0A0000}"/>
    <cellStyle name="Normal 6 3 2 4" xfId="2731" xr:uid="{00000000-0005-0000-0000-0000B00A0000}"/>
    <cellStyle name="Normal 6 3 2 5" xfId="2732" xr:uid="{00000000-0005-0000-0000-0000B10A0000}"/>
    <cellStyle name="Normal 6 3 3" xfId="2733" xr:uid="{00000000-0005-0000-0000-0000B20A0000}"/>
    <cellStyle name="Normal 6 3 3 2" xfId="2734" xr:uid="{00000000-0005-0000-0000-0000B30A0000}"/>
    <cellStyle name="Normal 6 3 3 2 2" xfId="2735" xr:uid="{00000000-0005-0000-0000-0000B40A0000}"/>
    <cellStyle name="Normal 6 3 3 3" xfId="2736" xr:uid="{00000000-0005-0000-0000-0000B50A0000}"/>
    <cellStyle name="Normal 6 3 3 4" xfId="2737" xr:uid="{00000000-0005-0000-0000-0000B60A0000}"/>
    <cellStyle name="Normal 6 3 4" xfId="2738" xr:uid="{00000000-0005-0000-0000-0000B70A0000}"/>
    <cellStyle name="Normal 6 3 4 2" xfId="2739" xr:uid="{00000000-0005-0000-0000-0000B80A0000}"/>
    <cellStyle name="Normal 6 3 5" xfId="2740" xr:uid="{00000000-0005-0000-0000-0000B90A0000}"/>
    <cellStyle name="Normal 6 3 5 2" xfId="2741" xr:uid="{00000000-0005-0000-0000-0000BA0A0000}"/>
    <cellStyle name="Normal 6 3 6" xfId="2742" xr:uid="{00000000-0005-0000-0000-0000BB0A0000}"/>
    <cellStyle name="Normal 6 3 7" xfId="2743" xr:uid="{00000000-0005-0000-0000-0000BC0A0000}"/>
    <cellStyle name="Normal 6 4" xfId="2744" xr:uid="{00000000-0005-0000-0000-0000BD0A0000}"/>
    <cellStyle name="Normal 6 5" xfId="2745" xr:uid="{00000000-0005-0000-0000-0000BE0A0000}"/>
    <cellStyle name="Normal 6 6" xfId="2746" xr:uid="{00000000-0005-0000-0000-0000BF0A0000}"/>
    <cellStyle name="Normal 6 6 2" xfId="2747" xr:uid="{00000000-0005-0000-0000-0000C00A0000}"/>
    <cellStyle name="Normal 6 6 2 2" xfId="2748" xr:uid="{00000000-0005-0000-0000-0000C10A0000}"/>
    <cellStyle name="Normal 6 6 2 2 2" xfId="2749" xr:uid="{00000000-0005-0000-0000-0000C20A0000}"/>
    <cellStyle name="Normal 6 6 2 2 2 2" xfId="2750" xr:uid="{00000000-0005-0000-0000-0000C30A0000}"/>
    <cellStyle name="Normal 6 6 2 2 3" xfId="2751" xr:uid="{00000000-0005-0000-0000-0000C40A0000}"/>
    <cellStyle name="Normal 6 6 2 2 4" xfId="2752" xr:uid="{00000000-0005-0000-0000-0000C50A0000}"/>
    <cellStyle name="Normal 6 6 2 3" xfId="2753" xr:uid="{00000000-0005-0000-0000-0000C60A0000}"/>
    <cellStyle name="Normal 6 6 2 3 2" xfId="2754" xr:uid="{00000000-0005-0000-0000-0000C70A0000}"/>
    <cellStyle name="Normal 6 6 2 4" xfId="2755" xr:uid="{00000000-0005-0000-0000-0000C80A0000}"/>
    <cellStyle name="Normal 6 6 2 5" xfId="2756" xr:uid="{00000000-0005-0000-0000-0000C90A0000}"/>
    <cellStyle name="Normal 6 6 3" xfId="2757" xr:uid="{00000000-0005-0000-0000-0000CA0A0000}"/>
    <cellStyle name="Normal 6 6 3 2" xfId="2758" xr:uid="{00000000-0005-0000-0000-0000CB0A0000}"/>
    <cellStyle name="Normal 6 6 3 2 2" xfId="2759" xr:uid="{00000000-0005-0000-0000-0000CC0A0000}"/>
    <cellStyle name="Normal 6 6 3 3" xfId="2760" xr:uid="{00000000-0005-0000-0000-0000CD0A0000}"/>
    <cellStyle name="Normal 6 6 3 4" xfId="2761" xr:uid="{00000000-0005-0000-0000-0000CE0A0000}"/>
    <cellStyle name="Normal 6 6 4" xfId="2762" xr:uid="{00000000-0005-0000-0000-0000CF0A0000}"/>
    <cellStyle name="Normal 6 6 4 2" xfId="2763" xr:uid="{00000000-0005-0000-0000-0000D00A0000}"/>
    <cellStyle name="Normal 6 6 5" xfId="2764" xr:uid="{00000000-0005-0000-0000-0000D10A0000}"/>
    <cellStyle name="Normal 6 6 6" xfId="2765" xr:uid="{00000000-0005-0000-0000-0000D20A0000}"/>
    <cellStyle name="Normal 6 7" xfId="2766" xr:uid="{00000000-0005-0000-0000-0000D30A0000}"/>
    <cellStyle name="Normal 6 7 2" xfId="2767" xr:uid="{00000000-0005-0000-0000-0000D40A0000}"/>
    <cellStyle name="Normal 6 7 2 2" xfId="2768" xr:uid="{00000000-0005-0000-0000-0000D50A0000}"/>
    <cellStyle name="Normal 6 7 2 2 2" xfId="2769" xr:uid="{00000000-0005-0000-0000-0000D60A0000}"/>
    <cellStyle name="Normal 6 7 2 2 2 2" xfId="2770" xr:uid="{00000000-0005-0000-0000-0000D70A0000}"/>
    <cellStyle name="Normal 6 7 2 2 3" xfId="2771" xr:uid="{00000000-0005-0000-0000-0000D80A0000}"/>
    <cellStyle name="Normal 6 7 2 2 4" xfId="2772" xr:uid="{00000000-0005-0000-0000-0000D90A0000}"/>
    <cellStyle name="Normal 6 7 2 3" xfId="2773" xr:uid="{00000000-0005-0000-0000-0000DA0A0000}"/>
    <cellStyle name="Normal 6 7 2 3 2" xfId="2774" xr:uid="{00000000-0005-0000-0000-0000DB0A0000}"/>
    <cellStyle name="Normal 6 7 2 4" xfId="2775" xr:uid="{00000000-0005-0000-0000-0000DC0A0000}"/>
    <cellStyle name="Normal 6 7 2 5" xfId="2776" xr:uid="{00000000-0005-0000-0000-0000DD0A0000}"/>
    <cellStyle name="Normal 6 7 3" xfId="2777" xr:uid="{00000000-0005-0000-0000-0000DE0A0000}"/>
    <cellStyle name="Normal 6 7 3 2" xfId="2778" xr:uid="{00000000-0005-0000-0000-0000DF0A0000}"/>
    <cellStyle name="Normal 6 7 3 2 2" xfId="2779" xr:uid="{00000000-0005-0000-0000-0000E00A0000}"/>
    <cellStyle name="Normal 6 7 3 3" xfId="2780" xr:uid="{00000000-0005-0000-0000-0000E10A0000}"/>
    <cellStyle name="Normal 6 7 3 4" xfId="2781" xr:uid="{00000000-0005-0000-0000-0000E20A0000}"/>
    <cellStyle name="Normal 6 7 4" xfId="2782" xr:uid="{00000000-0005-0000-0000-0000E30A0000}"/>
    <cellStyle name="Normal 6 7 4 2" xfId="2783" xr:uid="{00000000-0005-0000-0000-0000E40A0000}"/>
    <cellStyle name="Normal 6 7 5" xfId="2784" xr:uid="{00000000-0005-0000-0000-0000E50A0000}"/>
    <cellStyle name="Normal 6 7 6" xfId="2785" xr:uid="{00000000-0005-0000-0000-0000E60A0000}"/>
    <cellStyle name="Normal 6 8" xfId="2786" xr:uid="{00000000-0005-0000-0000-0000E70A0000}"/>
    <cellStyle name="Normal 6 8 2" xfId="2787" xr:uid="{00000000-0005-0000-0000-0000E80A0000}"/>
    <cellStyle name="Normal 6 8 2 2" xfId="2788" xr:uid="{00000000-0005-0000-0000-0000E90A0000}"/>
    <cellStyle name="Normal 6 8 2 2 2" xfId="2789" xr:uid="{00000000-0005-0000-0000-0000EA0A0000}"/>
    <cellStyle name="Normal 6 8 2 3" xfId="2790" xr:uid="{00000000-0005-0000-0000-0000EB0A0000}"/>
    <cellStyle name="Normal 6 8 2 4" xfId="2791" xr:uid="{00000000-0005-0000-0000-0000EC0A0000}"/>
    <cellStyle name="Normal 6 8 3" xfId="2792" xr:uid="{00000000-0005-0000-0000-0000ED0A0000}"/>
    <cellStyle name="Normal 6 8 3 2" xfId="2793" xr:uid="{00000000-0005-0000-0000-0000EE0A0000}"/>
    <cellStyle name="Normal 6 8 4" xfId="2794" xr:uid="{00000000-0005-0000-0000-0000EF0A0000}"/>
    <cellStyle name="Normal 6 8 5" xfId="2795" xr:uid="{00000000-0005-0000-0000-0000F00A0000}"/>
    <cellStyle name="Normal 6 9" xfId="2796" xr:uid="{00000000-0005-0000-0000-0000F10A0000}"/>
    <cellStyle name="Normal 6 9 2" xfId="2797" xr:uid="{00000000-0005-0000-0000-0000F20A0000}"/>
    <cellStyle name="Normal 6 9 2 2" xfId="2798" xr:uid="{00000000-0005-0000-0000-0000F30A0000}"/>
    <cellStyle name="Normal 6 9 3" xfId="2799" xr:uid="{00000000-0005-0000-0000-0000F40A0000}"/>
    <cellStyle name="Normal 6 9 4" xfId="2800" xr:uid="{00000000-0005-0000-0000-0000F50A0000}"/>
    <cellStyle name="Normal 7" xfId="2801" xr:uid="{00000000-0005-0000-0000-0000F60A0000}"/>
    <cellStyle name="Normal 7 2" xfId="2802" xr:uid="{00000000-0005-0000-0000-0000F70A0000}"/>
    <cellStyle name="Normal 8" xfId="2803" xr:uid="{00000000-0005-0000-0000-0000F80A0000}"/>
    <cellStyle name="Normal 9" xfId="2804" xr:uid="{00000000-0005-0000-0000-0000F90A0000}"/>
    <cellStyle name="Normal 9 2" xfId="2805" xr:uid="{00000000-0005-0000-0000-0000FA0A0000}"/>
    <cellStyle name="Normal 9 2 2" xfId="2806" xr:uid="{00000000-0005-0000-0000-0000FB0A0000}"/>
    <cellStyle name="Normal 9 2 2 2" xfId="2807" xr:uid="{00000000-0005-0000-0000-0000FC0A0000}"/>
    <cellStyle name="Normal 9 2 2 2 2" xfId="2808" xr:uid="{00000000-0005-0000-0000-0000FD0A0000}"/>
    <cellStyle name="Normal 9 2 2 3" xfId="2809" xr:uid="{00000000-0005-0000-0000-0000FE0A0000}"/>
    <cellStyle name="Normal 9 2 2 4" xfId="2810" xr:uid="{00000000-0005-0000-0000-0000FF0A0000}"/>
    <cellStyle name="Normal 9 2 3" xfId="2811" xr:uid="{00000000-0005-0000-0000-0000000B0000}"/>
    <cellStyle name="Normal 9 2 3 2" xfId="2812" xr:uid="{00000000-0005-0000-0000-0000010B0000}"/>
    <cellStyle name="Normal 9 2 4" xfId="2813" xr:uid="{00000000-0005-0000-0000-0000020B0000}"/>
    <cellStyle name="Normal 9 2 5" xfId="2814" xr:uid="{00000000-0005-0000-0000-0000030B0000}"/>
    <cellStyle name="Normal 9 3" xfId="2815" xr:uid="{00000000-0005-0000-0000-0000040B0000}"/>
    <cellStyle name="Normal 9 3 2" xfId="2816" xr:uid="{00000000-0005-0000-0000-0000050B0000}"/>
    <cellStyle name="Normal 9 3 2 2" xfId="2817" xr:uid="{00000000-0005-0000-0000-0000060B0000}"/>
    <cellStyle name="Normal 9 3 3" xfId="2818" xr:uid="{00000000-0005-0000-0000-0000070B0000}"/>
    <cellStyle name="Normal 9 3 4" xfId="2819" xr:uid="{00000000-0005-0000-0000-0000080B0000}"/>
    <cellStyle name="Normal 9 4" xfId="2820" xr:uid="{00000000-0005-0000-0000-0000090B0000}"/>
    <cellStyle name="Normal 9 4 2" xfId="2821" xr:uid="{00000000-0005-0000-0000-00000A0B0000}"/>
    <cellStyle name="Normal 9 5" xfId="2822" xr:uid="{00000000-0005-0000-0000-00000B0B0000}"/>
    <cellStyle name="Normal 9 5 2" xfId="2823" xr:uid="{00000000-0005-0000-0000-00000C0B0000}"/>
    <cellStyle name="Normal 9 6" xfId="2824" xr:uid="{00000000-0005-0000-0000-00000D0B0000}"/>
    <cellStyle name="Normal 9 7" xfId="2825" xr:uid="{00000000-0005-0000-0000-00000E0B0000}"/>
    <cellStyle name="Normal_2007-08 Figures in data report 2007-08" xfId="2985" xr:uid="{32270E9C-9144-4D80-BDE0-700353D7B2EF}"/>
    <cellStyle name="Note 2" xfId="2826" xr:uid="{00000000-0005-0000-0000-0000100B0000}"/>
    <cellStyle name="Note 2 2" xfId="2827" xr:uid="{00000000-0005-0000-0000-0000110B0000}"/>
    <cellStyle name="Note 2 2 2" xfId="2828" xr:uid="{00000000-0005-0000-0000-0000120B0000}"/>
    <cellStyle name="Note 2 3" xfId="2829" xr:uid="{00000000-0005-0000-0000-0000130B0000}"/>
    <cellStyle name="Note 3" xfId="2830" xr:uid="{00000000-0005-0000-0000-0000140B0000}"/>
    <cellStyle name="Output 2" xfId="2831" xr:uid="{00000000-0005-0000-0000-0000150B0000}"/>
    <cellStyle name="Output 3" xfId="2832" xr:uid="{00000000-0005-0000-0000-0000160B0000}"/>
    <cellStyle name="Percent" xfId="2982" builtinId="5"/>
    <cellStyle name="Percent 10" xfId="2833" xr:uid="{00000000-0005-0000-0000-0000180B0000}"/>
    <cellStyle name="Percent 10 2" xfId="2834" xr:uid="{00000000-0005-0000-0000-0000190B0000}"/>
    <cellStyle name="Percent 10 3" xfId="2980" xr:uid="{00000000-0005-0000-0000-00001A0B0000}"/>
    <cellStyle name="Percent 11" xfId="2835" xr:uid="{00000000-0005-0000-0000-00001B0B0000}"/>
    <cellStyle name="Percent 12" xfId="2978" xr:uid="{00000000-0005-0000-0000-00001C0B0000}"/>
    <cellStyle name="Percent 2" xfId="2836" xr:uid="{00000000-0005-0000-0000-00001D0B0000}"/>
    <cellStyle name="Percent 2 2" xfId="2837" xr:uid="{00000000-0005-0000-0000-00001E0B0000}"/>
    <cellStyle name="Percent 2 3" xfId="2838" xr:uid="{00000000-0005-0000-0000-00001F0B0000}"/>
    <cellStyle name="Percent 2 4" xfId="2839" xr:uid="{00000000-0005-0000-0000-0000200B0000}"/>
    <cellStyle name="Percent 3" xfId="2840" xr:uid="{00000000-0005-0000-0000-0000210B0000}"/>
    <cellStyle name="Percent 3 2" xfId="2841" xr:uid="{00000000-0005-0000-0000-0000220B0000}"/>
    <cellStyle name="Percent 4" xfId="2842" xr:uid="{00000000-0005-0000-0000-0000230B0000}"/>
    <cellStyle name="Percent 4 2" xfId="2843" xr:uid="{00000000-0005-0000-0000-0000240B0000}"/>
    <cellStyle name="Percent 4 2 2" xfId="2844" xr:uid="{00000000-0005-0000-0000-0000250B0000}"/>
    <cellStyle name="Percent 4 2 2 2" xfId="2845" xr:uid="{00000000-0005-0000-0000-0000260B0000}"/>
    <cellStyle name="Percent 4 2 2 2 2" xfId="2846" xr:uid="{00000000-0005-0000-0000-0000270B0000}"/>
    <cellStyle name="Percent 4 2 2 2 2 2" xfId="2847" xr:uid="{00000000-0005-0000-0000-0000280B0000}"/>
    <cellStyle name="Percent 4 2 2 2 3" xfId="2848" xr:uid="{00000000-0005-0000-0000-0000290B0000}"/>
    <cellStyle name="Percent 4 2 2 2 4" xfId="2849" xr:uid="{00000000-0005-0000-0000-00002A0B0000}"/>
    <cellStyle name="Percent 4 2 2 3" xfId="2850" xr:uid="{00000000-0005-0000-0000-00002B0B0000}"/>
    <cellStyle name="Percent 4 2 2 3 2" xfId="2851" xr:uid="{00000000-0005-0000-0000-00002C0B0000}"/>
    <cellStyle name="Percent 4 2 2 4" xfId="2852" xr:uid="{00000000-0005-0000-0000-00002D0B0000}"/>
    <cellStyle name="Percent 4 2 2 5" xfId="2853" xr:uid="{00000000-0005-0000-0000-00002E0B0000}"/>
    <cellStyle name="Percent 4 2 3" xfId="2854" xr:uid="{00000000-0005-0000-0000-00002F0B0000}"/>
    <cellStyle name="Percent 4 2 3 2" xfId="2855" xr:uid="{00000000-0005-0000-0000-0000300B0000}"/>
    <cellStyle name="Percent 4 2 3 2 2" xfId="2856" xr:uid="{00000000-0005-0000-0000-0000310B0000}"/>
    <cellStyle name="Percent 4 2 3 3" xfId="2857" xr:uid="{00000000-0005-0000-0000-0000320B0000}"/>
    <cellStyle name="Percent 4 2 3 4" xfId="2858" xr:uid="{00000000-0005-0000-0000-0000330B0000}"/>
    <cellStyle name="Percent 4 2 4" xfId="2859" xr:uid="{00000000-0005-0000-0000-0000340B0000}"/>
    <cellStyle name="Percent 4 2 4 2" xfId="2860" xr:uid="{00000000-0005-0000-0000-0000350B0000}"/>
    <cellStyle name="Percent 4 2 5" xfId="2861" xr:uid="{00000000-0005-0000-0000-0000360B0000}"/>
    <cellStyle name="Percent 4 2 5 2" xfId="2862" xr:uid="{00000000-0005-0000-0000-0000370B0000}"/>
    <cellStyle name="Percent 4 2 6" xfId="2863" xr:uid="{00000000-0005-0000-0000-0000380B0000}"/>
    <cellStyle name="Percent 4 2 6 2" xfId="2864" xr:uid="{00000000-0005-0000-0000-0000390B0000}"/>
    <cellStyle name="Percent 4 2 7" xfId="2865" xr:uid="{00000000-0005-0000-0000-00003A0B0000}"/>
    <cellStyle name="Percent 4 3" xfId="2866" xr:uid="{00000000-0005-0000-0000-00003B0B0000}"/>
    <cellStyle name="Percent 4 4" xfId="2867" xr:uid="{00000000-0005-0000-0000-00003C0B0000}"/>
    <cellStyle name="Percent 4 5" xfId="2868" xr:uid="{00000000-0005-0000-0000-00003D0B0000}"/>
    <cellStyle name="Percent 4 6" xfId="2869" xr:uid="{00000000-0005-0000-0000-00003E0B0000}"/>
    <cellStyle name="Percent 4 6 2" xfId="2870" xr:uid="{00000000-0005-0000-0000-00003F0B0000}"/>
    <cellStyle name="Percent 4 6 2 2" xfId="2871" xr:uid="{00000000-0005-0000-0000-0000400B0000}"/>
    <cellStyle name="Percent 4 6 2 2 2" xfId="2872" xr:uid="{00000000-0005-0000-0000-0000410B0000}"/>
    <cellStyle name="Percent 4 6 2 2 2 2" xfId="2873" xr:uid="{00000000-0005-0000-0000-0000420B0000}"/>
    <cellStyle name="Percent 4 6 2 2 3" xfId="2874" xr:uid="{00000000-0005-0000-0000-0000430B0000}"/>
    <cellStyle name="Percent 4 6 2 2 4" xfId="2875" xr:uid="{00000000-0005-0000-0000-0000440B0000}"/>
    <cellStyle name="Percent 4 6 2 3" xfId="2876" xr:uid="{00000000-0005-0000-0000-0000450B0000}"/>
    <cellStyle name="Percent 4 6 2 3 2" xfId="2877" xr:uid="{00000000-0005-0000-0000-0000460B0000}"/>
    <cellStyle name="Percent 4 6 2 4" xfId="2878" xr:uid="{00000000-0005-0000-0000-0000470B0000}"/>
    <cellStyle name="Percent 4 6 2 5" xfId="2879" xr:uid="{00000000-0005-0000-0000-0000480B0000}"/>
    <cellStyle name="Percent 4 6 3" xfId="2880" xr:uid="{00000000-0005-0000-0000-0000490B0000}"/>
    <cellStyle name="Percent 4 6 3 2" xfId="2881" xr:uid="{00000000-0005-0000-0000-00004A0B0000}"/>
    <cellStyle name="Percent 4 6 3 2 2" xfId="2882" xr:uid="{00000000-0005-0000-0000-00004B0B0000}"/>
    <cellStyle name="Percent 4 6 3 3" xfId="2883" xr:uid="{00000000-0005-0000-0000-00004C0B0000}"/>
    <cellStyle name="Percent 4 6 3 4" xfId="2884" xr:uid="{00000000-0005-0000-0000-00004D0B0000}"/>
    <cellStyle name="Percent 4 6 4" xfId="2885" xr:uid="{00000000-0005-0000-0000-00004E0B0000}"/>
    <cellStyle name="Percent 4 6 4 2" xfId="2886" xr:uid="{00000000-0005-0000-0000-00004F0B0000}"/>
    <cellStyle name="Percent 4 6 5" xfId="2887" xr:uid="{00000000-0005-0000-0000-0000500B0000}"/>
    <cellStyle name="Percent 4 6 6" xfId="2888" xr:uid="{00000000-0005-0000-0000-0000510B0000}"/>
    <cellStyle name="Percent 4 7" xfId="2889" xr:uid="{00000000-0005-0000-0000-0000520B0000}"/>
    <cellStyle name="Percent 4 8" xfId="2890" xr:uid="{00000000-0005-0000-0000-0000530B0000}"/>
    <cellStyle name="Percent 4 8 2" xfId="2891" xr:uid="{00000000-0005-0000-0000-0000540B0000}"/>
    <cellStyle name="Percent 4 8 2 2" xfId="2892" xr:uid="{00000000-0005-0000-0000-0000550B0000}"/>
    <cellStyle name="Percent 4 8 3" xfId="2893" xr:uid="{00000000-0005-0000-0000-0000560B0000}"/>
    <cellStyle name="Percent 4 8 4" xfId="2894" xr:uid="{00000000-0005-0000-0000-0000570B0000}"/>
    <cellStyle name="Percent 5" xfId="2895" xr:uid="{00000000-0005-0000-0000-0000580B0000}"/>
    <cellStyle name="Percent 5 2" xfId="2896" xr:uid="{00000000-0005-0000-0000-0000590B0000}"/>
    <cellStyle name="Percent 5 3" xfId="2897" xr:uid="{00000000-0005-0000-0000-00005A0B0000}"/>
    <cellStyle name="Percent 5 4" xfId="2898" xr:uid="{00000000-0005-0000-0000-00005B0B0000}"/>
    <cellStyle name="Percent 5 5" xfId="2899" xr:uid="{00000000-0005-0000-0000-00005C0B0000}"/>
    <cellStyle name="Percent 6" xfId="2900" xr:uid="{00000000-0005-0000-0000-00005D0B0000}"/>
    <cellStyle name="Percent 6 2" xfId="2901" xr:uid="{00000000-0005-0000-0000-00005E0B0000}"/>
    <cellStyle name="Percent 6 2 2" xfId="2902" xr:uid="{00000000-0005-0000-0000-00005F0B0000}"/>
    <cellStyle name="Percent 6 2 2 2" xfId="2903" xr:uid="{00000000-0005-0000-0000-0000600B0000}"/>
    <cellStyle name="Percent 6 2 2 2 2" xfId="2904" xr:uid="{00000000-0005-0000-0000-0000610B0000}"/>
    <cellStyle name="Percent 6 2 2 3" xfId="2905" xr:uid="{00000000-0005-0000-0000-0000620B0000}"/>
    <cellStyle name="Percent 6 2 2 4" xfId="2906" xr:uid="{00000000-0005-0000-0000-0000630B0000}"/>
    <cellStyle name="Percent 6 2 3" xfId="2907" xr:uid="{00000000-0005-0000-0000-0000640B0000}"/>
    <cellStyle name="Percent 6 2 3 2" xfId="2908" xr:uid="{00000000-0005-0000-0000-0000650B0000}"/>
    <cellStyle name="Percent 6 2 4" xfId="2909" xr:uid="{00000000-0005-0000-0000-0000660B0000}"/>
    <cellStyle name="Percent 6 2 5" xfId="2910" xr:uid="{00000000-0005-0000-0000-0000670B0000}"/>
    <cellStyle name="Percent 6 3" xfId="2911" xr:uid="{00000000-0005-0000-0000-0000680B0000}"/>
    <cellStyle name="Percent 6 3 2" xfId="2912" xr:uid="{00000000-0005-0000-0000-0000690B0000}"/>
    <cellStyle name="Percent 6 3 2 2" xfId="2913" xr:uid="{00000000-0005-0000-0000-00006A0B0000}"/>
    <cellStyle name="Percent 6 3 3" xfId="2914" xr:uid="{00000000-0005-0000-0000-00006B0B0000}"/>
    <cellStyle name="Percent 6 3 4" xfId="2915" xr:uid="{00000000-0005-0000-0000-00006C0B0000}"/>
    <cellStyle name="Percent 6 4" xfId="2916" xr:uid="{00000000-0005-0000-0000-00006D0B0000}"/>
    <cellStyle name="Percent 6 4 2" xfId="2917" xr:uid="{00000000-0005-0000-0000-00006E0B0000}"/>
    <cellStyle name="Percent 6 5" xfId="2918" xr:uid="{00000000-0005-0000-0000-00006F0B0000}"/>
    <cellStyle name="Percent 6 5 2" xfId="2919" xr:uid="{00000000-0005-0000-0000-0000700B0000}"/>
    <cellStyle name="Percent 6 6" xfId="2920" xr:uid="{00000000-0005-0000-0000-0000710B0000}"/>
    <cellStyle name="Percent 6 6 2" xfId="2921" xr:uid="{00000000-0005-0000-0000-0000720B0000}"/>
    <cellStyle name="Percent 6 7" xfId="2922" xr:uid="{00000000-0005-0000-0000-0000730B0000}"/>
    <cellStyle name="Percent 7" xfId="2923" xr:uid="{00000000-0005-0000-0000-0000740B0000}"/>
    <cellStyle name="Percent 7 2" xfId="2924" xr:uid="{00000000-0005-0000-0000-0000750B0000}"/>
    <cellStyle name="Percent 7 2 2" xfId="2925" xr:uid="{00000000-0005-0000-0000-0000760B0000}"/>
    <cellStyle name="Percent 7 2 2 2" xfId="2926" xr:uid="{00000000-0005-0000-0000-0000770B0000}"/>
    <cellStyle name="Percent 7 2 2 2 2" xfId="2927" xr:uid="{00000000-0005-0000-0000-0000780B0000}"/>
    <cellStyle name="Percent 7 2 2 3" xfId="2928" xr:uid="{00000000-0005-0000-0000-0000790B0000}"/>
    <cellStyle name="Percent 7 2 2 4" xfId="2929" xr:uid="{00000000-0005-0000-0000-00007A0B0000}"/>
    <cellStyle name="Percent 7 2 3" xfId="2930" xr:uid="{00000000-0005-0000-0000-00007B0B0000}"/>
    <cellStyle name="Percent 7 2 3 2" xfId="2931" xr:uid="{00000000-0005-0000-0000-00007C0B0000}"/>
    <cellStyle name="Percent 7 2 4" xfId="2932" xr:uid="{00000000-0005-0000-0000-00007D0B0000}"/>
    <cellStyle name="Percent 7 2 5" xfId="2933" xr:uid="{00000000-0005-0000-0000-00007E0B0000}"/>
    <cellStyle name="Percent 7 3" xfId="2934" xr:uid="{00000000-0005-0000-0000-00007F0B0000}"/>
    <cellStyle name="Percent 7 3 2" xfId="2935" xr:uid="{00000000-0005-0000-0000-0000800B0000}"/>
    <cellStyle name="Percent 7 3 2 2" xfId="2936" xr:uid="{00000000-0005-0000-0000-0000810B0000}"/>
    <cellStyle name="Percent 7 3 3" xfId="2937" xr:uid="{00000000-0005-0000-0000-0000820B0000}"/>
    <cellStyle name="Percent 7 3 4" xfId="2938" xr:uid="{00000000-0005-0000-0000-0000830B0000}"/>
    <cellStyle name="Percent 7 4" xfId="2939" xr:uid="{00000000-0005-0000-0000-0000840B0000}"/>
    <cellStyle name="Percent 7 4 2" xfId="2940" xr:uid="{00000000-0005-0000-0000-0000850B0000}"/>
    <cellStyle name="Percent 7 5" xfId="2941" xr:uid="{00000000-0005-0000-0000-0000860B0000}"/>
    <cellStyle name="Percent 7 5 2" xfId="2942" xr:uid="{00000000-0005-0000-0000-0000870B0000}"/>
    <cellStyle name="Percent 7 6" xfId="2943" xr:uid="{00000000-0005-0000-0000-0000880B0000}"/>
    <cellStyle name="Percent 7 6 2" xfId="2944" xr:uid="{00000000-0005-0000-0000-0000890B0000}"/>
    <cellStyle name="Percent 7 7" xfId="2945" xr:uid="{00000000-0005-0000-0000-00008A0B0000}"/>
    <cellStyle name="Percent 8" xfId="2946" xr:uid="{00000000-0005-0000-0000-00008B0B0000}"/>
    <cellStyle name="Percent 8 2" xfId="2947" xr:uid="{00000000-0005-0000-0000-00008C0B0000}"/>
    <cellStyle name="Percent 8 2 2" xfId="2948" xr:uid="{00000000-0005-0000-0000-00008D0B0000}"/>
    <cellStyle name="Percent 8 2 2 2" xfId="2949" xr:uid="{00000000-0005-0000-0000-00008E0B0000}"/>
    <cellStyle name="Percent 8 2 2 2 2" xfId="2950" xr:uid="{00000000-0005-0000-0000-00008F0B0000}"/>
    <cellStyle name="Percent 8 2 2 3" xfId="2951" xr:uid="{00000000-0005-0000-0000-0000900B0000}"/>
    <cellStyle name="Percent 8 2 2 4" xfId="2952" xr:uid="{00000000-0005-0000-0000-0000910B0000}"/>
    <cellStyle name="Percent 8 2 3" xfId="2953" xr:uid="{00000000-0005-0000-0000-0000920B0000}"/>
    <cellStyle name="Percent 8 2 3 2" xfId="2954" xr:uid="{00000000-0005-0000-0000-0000930B0000}"/>
    <cellStyle name="Percent 8 2 4" xfId="2955" xr:uid="{00000000-0005-0000-0000-0000940B0000}"/>
    <cellStyle name="Percent 8 2 5" xfId="2956" xr:uid="{00000000-0005-0000-0000-0000950B0000}"/>
    <cellStyle name="Percent 8 3" xfId="2957" xr:uid="{00000000-0005-0000-0000-0000960B0000}"/>
    <cellStyle name="Percent 8 3 2" xfId="2958" xr:uid="{00000000-0005-0000-0000-0000970B0000}"/>
    <cellStyle name="Percent 8 3 2 2" xfId="2959" xr:uid="{00000000-0005-0000-0000-0000980B0000}"/>
    <cellStyle name="Percent 8 3 3" xfId="2960" xr:uid="{00000000-0005-0000-0000-0000990B0000}"/>
    <cellStyle name="Percent 8 3 4" xfId="2961" xr:uid="{00000000-0005-0000-0000-00009A0B0000}"/>
    <cellStyle name="Percent 8 4" xfId="2962" xr:uid="{00000000-0005-0000-0000-00009B0B0000}"/>
    <cellStyle name="Percent 8 4 2" xfId="2963" xr:uid="{00000000-0005-0000-0000-00009C0B0000}"/>
    <cellStyle name="Percent 8 5" xfId="2964" xr:uid="{00000000-0005-0000-0000-00009D0B0000}"/>
    <cellStyle name="Percent 8 6" xfId="2965" xr:uid="{00000000-0005-0000-0000-00009E0B0000}"/>
    <cellStyle name="Percent 9" xfId="2966" xr:uid="{00000000-0005-0000-0000-00009F0B0000}"/>
    <cellStyle name="Percent 9 2" xfId="2967" xr:uid="{00000000-0005-0000-0000-0000A00B0000}"/>
    <cellStyle name="Percent 9 2 2" xfId="2968" xr:uid="{00000000-0005-0000-0000-0000A10B0000}"/>
    <cellStyle name="Percent 9 3" xfId="2969" xr:uid="{00000000-0005-0000-0000-0000A20B0000}"/>
    <cellStyle name="Percent 9 4" xfId="2970" xr:uid="{00000000-0005-0000-0000-0000A30B0000}"/>
    <cellStyle name="Title 2" xfId="2971" xr:uid="{00000000-0005-0000-0000-0000A40B0000}"/>
    <cellStyle name="Title 3" xfId="2972" xr:uid="{00000000-0005-0000-0000-0000A50B0000}"/>
    <cellStyle name="Total 2" xfId="2973" xr:uid="{00000000-0005-0000-0000-0000A60B0000}"/>
    <cellStyle name="Total 3" xfId="2974" xr:uid="{00000000-0005-0000-0000-0000A70B0000}"/>
    <cellStyle name="Warning Text 2" xfId="2975" xr:uid="{00000000-0005-0000-0000-0000A80B0000}"/>
    <cellStyle name="Warning Text 3" xfId="2976" xr:uid="{00000000-0005-0000-0000-0000A90B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51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brightRoom" dir="t"/>
            </a:scene3d>
            <a:sp3d prstMaterial="flat">
              <a:bevelT w="50800" h="101600" prst="angle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910-43CD-B1E5-37F0C9573E2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910-43CD-B1E5-37F0C9573E22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910-43CD-B1E5-37F0C9573E22}"/>
              </c:ext>
            </c:extLst>
          </c:dPt>
          <c:dLbls>
            <c:dLbl>
              <c:idx val="0"/>
              <c:layout>
                <c:manualLayout>
                  <c:x val="0.174999999999999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10-43CD-B1E5-37F0C9573E22}"/>
                </c:ext>
              </c:extLst>
            </c:dLbl>
            <c:dLbl>
              <c:idx val="1"/>
              <c:layout>
                <c:manualLayout>
                  <c:x val="-0.16944444444444451"/>
                  <c:y val="2.77777777777776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10-43CD-B1E5-37F0C9573E22}"/>
                </c:ext>
              </c:extLst>
            </c:dLbl>
            <c:dLbl>
              <c:idx val="2"/>
              <c:layout>
                <c:manualLayout>
                  <c:x val="-0.14722222222222225"/>
                  <c:y val="-5.09259259259259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10-43CD-B1E5-37F0C9573E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'[1]App 2-Totals'!$O$7:$Q$7</c:f>
              <c:strCache>
                <c:ptCount val="3"/>
                <c:pt idx="0">
                  <c:v>Residual</c:v>
                </c:pt>
                <c:pt idx="1">
                  <c:v>Recycling</c:v>
                </c:pt>
                <c:pt idx="2">
                  <c:v>Organics</c:v>
                </c:pt>
              </c:strCache>
            </c:strRef>
          </c:cat>
          <c:val>
            <c:numRef>
              <c:f>'[1]App 2-Totals'!$O$8:$Q$8</c:f>
              <c:numCache>
                <c:formatCode>General</c:formatCode>
                <c:ptCount val="3"/>
                <c:pt idx="0">
                  <c:v>2353185.69</c:v>
                </c:pt>
                <c:pt idx="1">
                  <c:v>827959.64061781368</c:v>
                </c:pt>
                <c:pt idx="2">
                  <c:v>863221.5299999998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10-43CD-B1E5-37F0C9573E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79</xdr:row>
      <xdr:rowOff>0</xdr:rowOff>
    </xdr:from>
    <xdr:to>
      <xdr:col>5</xdr:col>
      <xdr:colOff>9525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9525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9525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9525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88C9C84D-EB61-45C6-9D87-D618F450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E77872E6-6B38-498A-AB3C-A13AD3AB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C9587145-345B-4141-A2FB-D5DDAB63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3EE14698-CBCE-43E5-8256-68CF8EA1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64E0F08E-37D8-4B37-9435-5767B5A6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7540AD0D-0370-4760-A071-4D51EDEB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41ED588C-F78A-44DB-9846-BB613A3E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61E58DE9-7847-44B3-9C5F-349D9AFF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3760D999-1096-40C2-8E04-5C26992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41157A18-16E5-4F75-8E6F-BDA5ECBE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163DBAB4-ED1D-4458-B98D-785DE959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E5802E5-1E60-4562-8945-715704EB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54" name="Picture 108" descr="http://www.abs.gov.au/icons/ecblank.gif">
          <a:extLst>
            <a:ext uri="{FF2B5EF4-FFF2-40B4-BE49-F238E27FC236}">
              <a16:creationId xmlns:a16="http://schemas.microsoft.com/office/drawing/2014/main" id="{375CD124-7406-4467-BC81-1F9D32BB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55" name="Picture 109" descr="http://www.abs.gov.au/icons/ecblank.gif">
          <a:extLst>
            <a:ext uri="{FF2B5EF4-FFF2-40B4-BE49-F238E27FC236}">
              <a16:creationId xmlns:a16="http://schemas.microsoft.com/office/drawing/2014/main" id="{E48FA646-3E90-4DFB-84CF-48027A7F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56" name="Picture 110" descr="http://www.abs.gov.au/icons/ecblank.gif">
          <a:extLst>
            <a:ext uri="{FF2B5EF4-FFF2-40B4-BE49-F238E27FC236}">
              <a16:creationId xmlns:a16="http://schemas.microsoft.com/office/drawing/2014/main" id="{0FC241B8-3563-48E5-A013-C580D2EC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57" name="Picture 111" descr="http://www.abs.gov.au/icons/ecblank.gif">
          <a:extLst>
            <a:ext uri="{FF2B5EF4-FFF2-40B4-BE49-F238E27FC236}">
              <a16:creationId xmlns:a16="http://schemas.microsoft.com/office/drawing/2014/main" id="{4DB36DD9-2194-4D7B-82BD-0C89EF08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CCC014B4-A9A7-4F06-A356-D8523CA5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1FF4F64C-C188-44B3-AD38-B624FC86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52C600CE-1024-4A79-AB7C-38EE9FBC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4BD0965F-F810-4631-8F4E-D42A2042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62" name="Picture 61" descr="http://www.abs.gov.au/icons/ecblank.gif">
          <a:extLst>
            <a:ext uri="{FF2B5EF4-FFF2-40B4-BE49-F238E27FC236}">
              <a16:creationId xmlns:a16="http://schemas.microsoft.com/office/drawing/2014/main" id="{61931CE5-5E0A-48A5-A622-999AF9C1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63" name="Picture 62" descr="http://www.abs.gov.au/icons/ecblank.gif">
          <a:extLst>
            <a:ext uri="{FF2B5EF4-FFF2-40B4-BE49-F238E27FC236}">
              <a16:creationId xmlns:a16="http://schemas.microsoft.com/office/drawing/2014/main" id="{B7127496-7FA0-4546-93C8-383D3A2B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64" name="Picture 63" descr="http://www.abs.gov.au/icons/ecblank.gif">
          <a:extLst>
            <a:ext uri="{FF2B5EF4-FFF2-40B4-BE49-F238E27FC236}">
              <a16:creationId xmlns:a16="http://schemas.microsoft.com/office/drawing/2014/main" id="{3CEE7CE9-BB96-4587-8C06-AA4D0927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65" name="Picture 64" descr="http://www.abs.gov.au/icons/ecblank.gif">
          <a:extLst>
            <a:ext uri="{FF2B5EF4-FFF2-40B4-BE49-F238E27FC236}">
              <a16:creationId xmlns:a16="http://schemas.microsoft.com/office/drawing/2014/main" id="{69FB9B7B-8520-4E74-AD39-8EA150A7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66" name="Picture 65" descr="http://www.abs.gov.au/icons/ecblank.gif">
          <a:extLst>
            <a:ext uri="{FF2B5EF4-FFF2-40B4-BE49-F238E27FC236}">
              <a16:creationId xmlns:a16="http://schemas.microsoft.com/office/drawing/2014/main" id="{05A1C5E9-614A-4AB7-86E2-56AC854C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67" name="Picture 66" descr="http://www.abs.gov.au/icons/ecblank.gif">
          <a:extLst>
            <a:ext uri="{FF2B5EF4-FFF2-40B4-BE49-F238E27FC236}">
              <a16:creationId xmlns:a16="http://schemas.microsoft.com/office/drawing/2014/main" id="{92D4610E-3788-4A20-88B3-13CC7FB6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68" name="Picture 67" descr="http://www.abs.gov.au/icons/ecblank.gif">
          <a:extLst>
            <a:ext uri="{FF2B5EF4-FFF2-40B4-BE49-F238E27FC236}">
              <a16:creationId xmlns:a16="http://schemas.microsoft.com/office/drawing/2014/main" id="{7534FD7F-AEF6-4378-AFB7-304FFCB2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69" name="Picture 68" descr="http://www.abs.gov.au/icons/ecblank.gif">
          <a:extLst>
            <a:ext uri="{FF2B5EF4-FFF2-40B4-BE49-F238E27FC236}">
              <a16:creationId xmlns:a16="http://schemas.microsoft.com/office/drawing/2014/main" id="{43080440-DFCC-4DDE-BFE2-BDB0226A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70" name="Picture 108" descr="http://www.abs.gov.au/icons/ecblank.gif">
          <a:extLst>
            <a:ext uri="{FF2B5EF4-FFF2-40B4-BE49-F238E27FC236}">
              <a16:creationId xmlns:a16="http://schemas.microsoft.com/office/drawing/2014/main" id="{F8F8FFA2-88AB-45E8-9FB6-8FFF7EE8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71" name="Picture 109" descr="http://www.abs.gov.au/icons/ecblank.gif">
          <a:extLst>
            <a:ext uri="{FF2B5EF4-FFF2-40B4-BE49-F238E27FC236}">
              <a16:creationId xmlns:a16="http://schemas.microsoft.com/office/drawing/2014/main" id="{4D4B0694-0C4C-4793-B215-7F9A9573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72" name="Picture 110" descr="http://www.abs.gov.au/icons/ecblank.gif">
          <a:extLst>
            <a:ext uri="{FF2B5EF4-FFF2-40B4-BE49-F238E27FC236}">
              <a16:creationId xmlns:a16="http://schemas.microsoft.com/office/drawing/2014/main" id="{170C17ED-8F78-4AC8-97B2-7D9E4AA1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73" name="Picture 111" descr="http://www.abs.gov.au/icons/ecblank.gif">
          <a:extLst>
            <a:ext uri="{FF2B5EF4-FFF2-40B4-BE49-F238E27FC236}">
              <a16:creationId xmlns:a16="http://schemas.microsoft.com/office/drawing/2014/main" id="{40702CE1-D7F5-4FC5-BA93-B55937B4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74" name="Picture 73" descr="http://www.abs.gov.au/icons/ecblank.gif">
          <a:extLst>
            <a:ext uri="{FF2B5EF4-FFF2-40B4-BE49-F238E27FC236}">
              <a16:creationId xmlns:a16="http://schemas.microsoft.com/office/drawing/2014/main" id="{15A335CC-55D3-411F-9B5D-06569275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75" name="Picture 74" descr="http://www.abs.gov.au/icons/ecblank.gif">
          <a:extLst>
            <a:ext uri="{FF2B5EF4-FFF2-40B4-BE49-F238E27FC236}">
              <a16:creationId xmlns:a16="http://schemas.microsoft.com/office/drawing/2014/main" id="{85BFDDCA-3EA4-4499-850C-63D180F5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76" name="Picture 75" descr="http://www.abs.gov.au/icons/ecblank.gif">
          <a:extLst>
            <a:ext uri="{FF2B5EF4-FFF2-40B4-BE49-F238E27FC236}">
              <a16:creationId xmlns:a16="http://schemas.microsoft.com/office/drawing/2014/main" id="{B1BDD0C4-1A34-4BBD-9A65-606E2516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77" name="Picture 76" descr="http://www.abs.gov.au/icons/ecblank.gif">
          <a:extLst>
            <a:ext uri="{FF2B5EF4-FFF2-40B4-BE49-F238E27FC236}">
              <a16:creationId xmlns:a16="http://schemas.microsoft.com/office/drawing/2014/main" id="{73701A99-FF20-4A22-B448-8DA9D3E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78" name="Picture 77" descr="http://www.abs.gov.au/icons/ecblank.gif">
          <a:extLst>
            <a:ext uri="{FF2B5EF4-FFF2-40B4-BE49-F238E27FC236}">
              <a16:creationId xmlns:a16="http://schemas.microsoft.com/office/drawing/2014/main" id="{6FA28985-568F-4497-ABC7-B9188C75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79" name="Picture 78" descr="http://www.abs.gov.au/icons/ecblank.gif">
          <a:extLst>
            <a:ext uri="{FF2B5EF4-FFF2-40B4-BE49-F238E27FC236}">
              <a16:creationId xmlns:a16="http://schemas.microsoft.com/office/drawing/2014/main" id="{9F0936ED-BDED-4765-85A3-C46DE0EF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80" name="Picture 79" descr="http://www.abs.gov.au/icons/ecblank.gif">
          <a:extLst>
            <a:ext uri="{FF2B5EF4-FFF2-40B4-BE49-F238E27FC236}">
              <a16:creationId xmlns:a16="http://schemas.microsoft.com/office/drawing/2014/main" id="{0CA5894F-1FE9-4D12-8928-1B2D5262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81" name="Picture 80" descr="http://www.abs.gov.au/icons/ecblank.gif">
          <a:extLst>
            <a:ext uri="{FF2B5EF4-FFF2-40B4-BE49-F238E27FC236}">
              <a16:creationId xmlns:a16="http://schemas.microsoft.com/office/drawing/2014/main" id="{9BE33EF2-8A92-4987-A563-B75A5770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82" name="Picture 81" descr="http://www.abs.gov.au/icons/ecblank.gif">
          <a:extLst>
            <a:ext uri="{FF2B5EF4-FFF2-40B4-BE49-F238E27FC236}">
              <a16:creationId xmlns:a16="http://schemas.microsoft.com/office/drawing/2014/main" id="{66C98500-68FE-4B70-9A05-0C377F09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83" name="Picture 82" descr="http://www.abs.gov.au/icons/ecblank.gif">
          <a:extLst>
            <a:ext uri="{FF2B5EF4-FFF2-40B4-BE49-F238E27FC236}">
              <a16:creationId xmlns:a16="http://schemas.microsoft.com/office/drawing/2014/main" id="{775A3D69-A61D-4450-89E1-47BD353F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84" name="Picture 83" descr="http://www.abs.gov.au/icons/ecblank.gif">
          <a:extLst>
            <a:ext uri="{FF2B5EF4-FFF2-40B4-BE49-F238E27FC236}">
              <a16:creationId xmlns:a16="http://schemas.microsoft.com/office/drawing/2014/main" id="{43345C6B-EE2E-4AA6-80F2-06DA3EF6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85" name="Picture 84" descr="http://www.abs.gov.au/icons/ecblank.gif">
          <a:extLst>
            <a:ext uri="{FF2B5EF4-FFF2-40B4-BE49-F238E27FC236}">
              <a16:creationId xmlns:a16="http://schemas.microsoft.com/office/drawing/2014/main" id="{C7D8E9EF-F5BB-415F-846A-AB837228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86" name="Picture 108" descr="http://www.abs.gov.au/icons/ecblank.gif">
          <a:extLst>
            <a:ext uri="{FF2B5EF4-FFF2-40B4-BE49-F238E27FC236}">
              <a16:creationId xmlns:a16="http://schemas.microsoft.com/office/drawing/2014/main" id="{17E69955-098B-40C7-BEDB-E1123DCA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87" name="Picture 109" descr="http://www.abs.gov.au/icons/ecblank.gif">
          <a:extLst>
            <a:ext uri="{FF2B5EF4-FFF2-40B4-BE49-F238E27FC236}">
              <a16:creationId xmlns:a16="http://schemas.microsoft.com/office/drawing/2014/main" id="{DF8066D1-C294-463E-9063-E1A183E53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88" name="Picture 110" descr="http://www.abs.gov.au/icons/ecblank.gif">
          <a:extLst>
            <a:ext uri="{FF2B5EF4-FFF2-40B4-BE49-F238E27FC236}">
              <a16:creationId xmlns:a16="http://schemas.microsoft.com/office/drawing/2014/main" id="{CDE2D3E2-BE65-43B9-A942-98E1DA72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89" name="Picture 111" descr="http://www.abs.gov.au/icons/ecblank.gif">
          <a:extLst>
            <a:ext uri="{FF2B5EF4-FFF2-40B4-BE49-F238E27FC236}">
              <a16:creationId xmlns:a16="http://schemas.microsoft.com/office/drawing/2014/main" id="{FECF276A-C99E-41A6-BBBF-A449B68F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90" name="Picture 89" descr="http://www.abs.gov.au/icons/ecblank.gif">
          <a:extLst>
            <a:ext uri="{FF2B5EF4-FFF2-40B4-BE49-F238E27FC236}">
              <a16:creationId xmlns:a16="http://schemas.microsoft.com/office/drawing/2014/main" id="{88BB9691-ED46-4F62-A70F-1C121624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91" name="Picture 90" descr="http://www.abs.gov.au/icons/ecblank.gif">
          <a:extLst>
            <a:ext uri="{FF2B5EF4-FFF2-40B4-BE49-F238E27FC236}">
              <a16:creationId xmlns:a16="http://schemas.microsoft.com/office/drawing/2014/main" id="{C8726C1C-40CD-48A9-87E5-2DD759EE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2" name="Picture 91" descr="http://www.abs.gov.au/icons/ecblank.gif">
          <a:extLst>
            <a:ext uri="{FF2B5EF4-FFF2-40B4-BE49-F238E27FC236}">
              <a16:creationId xmlns:a16="http://schemas.microsoft.com/office/drawing/2014/main" id="{9452506E-0851-4F5F-A5D5-97D4D756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3" name="Picture 92" descr="http://www.abs.gov.au/icons/ecblank.gif">
          <a:extLst>
            <a:ext uri="{FF2B5EF4-FFF2-40B4-BE49-F238E27FC236}">
              <a16:creationId xmlns:a16="http://schemas.microsoft.com/office/drawing/2014/main" id="{8D6D3109-D7D7-48C8-AD4C-81ACAA49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94" name="Picture 93" descr="http://www.abs.gov.au/icons/ecblank.gif">
          <a:extLst>
            <a:ext uri="{FF2B5EF4-FFF2-40B4-BE49-F238E27FC236}">
              <a16:creationId xmlns:a16="http://schemas.microsoft.com/office/drawing/2014/main" id="{D41C4C34-AA6F-4DCD-87B3-4AC25252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95" name="Picture 94" descr="http://www.abs.gov.au/icons/ecblank.gif">
          <a:extLst>
            <a:ext uri="{FF2B5EF4-FFF2-40B4-BE49-F238E27FC236}">
              <a16:creationId xmlns:a16="http://schemas.microsoft.com/office/drawing/2014/main" id="{5C147AA5-9D80-4858-82CB-50E07A2D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6" name="Picture 95" descr="http://www.abs.gov.au/icons/ecblank.gif">
          <a:extLst>
            <a:ext uri="{FF2B5EF4-FFF2-40B4-BE49-F238E27FC236}">
              <a16:creationId xmlns:a16="http://schemas.microsoft.com/office/drawing/2014/main" id="{2FA4B90B-3B66-4FBE-B957-A20CDF64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7" name="Picture 96" descr="http://www.abs.gov.au/icons/ecblank.gif">
          <a:extLst>
            <a:ext uri="{FF2B5EF4-FFF2-40B4-BE49-F238E27FC236}">
              <a16:creationId xmlns:a16="http://schemas.microsoft.com/office/drawing/2014/main" id="{C47C828F-4904-48AD-9284-4352FCC2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98" name="Picture 97" descr="http://www.abs.gov.au/icons/ecblank.gif">
          <a:extLst>
            <a:ext uri="{FF2B5EF4-FFF2-40B4-BE49-F238E27FC236}">
              <a16:creationId xmlns:a16="http://schemas.microsoft.com/office/drawing/2014/main" id="{924DC850-EDA6-49A5-A3B0-78BE77BB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99" name="Picture 98" descr="http://www.abs.gov.au/icons/ecblank.gif">
          <a:extLst>
            <a:ext uri="{FF2B5EF4-FFF2-40B4-BE49-F238E27FC236}">
              <a16:creationId xmlns:a16="http://schemas.microsoft.com/office/drawing/2014/main" id="{2C78713C-964B-4377-8BBB-FD4D6612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00" name="Picture 99" descr="http://www.abs.gov.au/icons/ecblank.gif">
          <a:extLst>
            <a:ext uri="{FF2B5EF4-FFF2-40B4-BE49-F238E27FC236}">
              <a16:creationId xmlns:a16="http://schemas.microsoft.com/office/drawing/2014/main" id="{0AF5D628-D660-40DF-8EE6-A978A238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01" name="Picture 100" descr="http://www.abs.gov.au/icons/ecblank.gif">
          <a:extLst>
            <a:ext uri="{FF2B5EF4-FFF2-40B4-BE49-F238E27FC236}">
              <a16:creationId xmlns:a16="http://schemas.microsoft.com/office/drawing/2014/main" id="{BE1C2906-DA2F-4363-BF62-2AD3F8AB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02" name="Picture 108" descr="http://www.abs.gov.au/icons/ecblank.gif">
          <a:extLst>
            <a:ext uri="{FF2B5EF4-FFF2-40B4-BE49-F238E27FC236}">
              <a16:creationId xmlns:a16="http://schemas.microsoft.com/office/drawing/2014/main" id="{BD7F04E2-EA64-4E90-8DE9-CD12A17C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03" name="Picture 109" descr="http://www.abs.gov.au/icons/ecblank.gif">
          <a:extLst>
            <a:ext uri="{FF2B5EF4-FFF2-40B4-BE49-F238E27FC236}">
              <a16:creationId xmlns:a16="http://schemas.microsoft.com/office/drawing/2014/main" id="{5F5A8758-0FD1-4C10-910C-F346C028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04" name="Picture 110" descr="http://www.abs.gov.au/icons/ecblank.gif">
          <a:extLst>
            <a:ext uri="{FF2B5EF4-FFF2-40B4-BE49-F238E27FC236}">
              <a16:creationId xmlns:a16="http://schemas.microsoft.com/office/drawing/2014/main" id="{E8FBB5B5-8B2B-4AD2-85D4-57C8E700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05" name="Picture 111" descr="http://www.abs.gov.au/icons/ecblank.gif">
          <a:extLst>
            <a:ext uri="{FF2B5EF4-FFF2-40B4-BE49-F238E27FC236}">
              <a16:creationId xmlns:a16="http://schemas.microsoft.com/office/drawing/2014/main" id="{21848567-72C3-461D-A586-0191EC2C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06" name="Picture 105" descr="http://www.abs.gov.au/icons/ecblank.gif">
          <a:extLst>
            <a:ext uri="{FF2B5EF4-FFF2-40B4-BE49-F238E27FC236}">
              <a16:creationId xmlns:a16="http://schemas.microsoft.com/office/drawing/2014/main" id="{530969FE-9BA1-42DC-B6AC-FF296EF2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07" name="Picture 106" descr="http://www.abs.gov.au/icons/ecblank.gif">
          <a:extLst>
            <a:ext uri="{FF2B5EF4-FFF2-40B4-BE49-F238E27FC236}">
              <a16:creationId xmlns:a16="http://schemas.microsoft.com/office/drawing/2014/main" id="{0697249C-C933-4742-B885-C7E31E03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08" name="Picture 107" descr="http://www.abs.gov.au/icons/ecblank.gif">
          <a:extLst>
            <a:ext uri="{FF2B5EF4-FFF2-40B4-BE49-F238E27FC236}">
              <a16:creationId xmlns:a16="http://schemas.microsoft.com/office/drawing/2014/main" id="{EAEAF226-A3E1-49FC-9E8A-02CEDBE3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09" name="Picture 108" descr="http://www.abs.gov.au/icons/ecblank.gif">
          <a:extLst>
            <a:ext uri="{FF2B5EF4-FFF2-40B4-BE49-F238E27FC236}">
              <a16:creationId xmlns:a16="http://schemas.microsoft.com/office/drawing/2014/main" id="{D8D3EF17-21E2-445E-A297-18024D1B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10" name="Picture 109" descr="http://www.abs.gov.au/icons/ecblank.gif">
          <a:extLst>
            <a:ext uri="{FF2B5EF4-FFF2-40B4-BE49-F238E27FC236}">
              <a16:creationId xmlns:a16="http://schemas.microsoft.com/office/drawing/2014/main" id="{1426A55E-D728-443E-A1CB-D49F91D3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11" name="Picture 110" descr="http://www.abs.gov.au/icons/ecblank.gif">
          <a:extLst>
            <a:ext uri="{FF2B5EF4-FFF2-40B4-BE49-F238E27FC236}">
              <a16:creationId xmlns:a16="http://schemas.microsoft.com/office/drawing/2014/main" id="{BF3EB6C6-E04C-401B-90B1-8561F244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12" name="Picture 111" descr="http://www.abs.gov.au/icons/ecblank.gif">
          <a:extLst>
            <a:ext uri="{FF2B5EF4-FFF2-40B4-BE49-F238E27FC236}">
              <a16:creationId xmlns:a16="http://schemas.microsoft.com/office/drawing/2014/main" id="{143AD703-2291-43A6-A311-5B4CE05C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13" name="Picture 112" descr="http://www.abs.gov.au/icons/ecblank.gif">
          <a:extLst>
            <a:ext uri="{FF2B5EF4-FFF2-40B4-BE49-F238E27FC236}">
              <a16:creationId xmlns:a16="http://schemas.microsoft.com/office/drawing/2014/main" id="{EB2DFFEC-BFEE-4F45-A8E2-1078926B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76</xdr:row>
      <xdr:rowOff>171450</xdr:rowOff>
    </xdr:from>
    <xdr:to>
      <xdr:col>7</xdr:col>
      <xdr:colOff>9525</xdr:colOff>
      <xdr:row>76</xdr:row>
      <xdr:rowOff>180975</xdr:rowOff>
    </xdr:to>
    <xdr:pic>
      <xdr:nvPicPr>
        <xdr:cNvPr id="114" name="Picture 113" descr="http://www.abs.gov.au/icons/ecblank.gif">
          <a:extLst>
            <a:ext uri="{FF2B5EF4-FFF2-40B4-BE49-F238E27FC236}">
              <a16:creationId xmlns:a16="http://schemas.microsoft.com/office/drawing/2014/main" id="{9894B225-9A2E-4BD2-ABA0-BD45AF83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29200" y="15525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76</xdr:row>
      <xdr:rowOff>171450</xdr:rowOff>
    </xdr:from>
    <xdr:to>
      <xdr:col>7</xdr:col>
      <xdr:colOff>9525</xdr:colOff>
      <xdr:row>76</xdr:row>
      <xdr:rowOff>180975</xdr:rowOff>
    </xdr:to>
    <xdr:pic>
      <xdr:nvPicPr>
        <xdr:cNvPr id="115" name="Picture 114" descr="http://www.abs.gov.au/icons/ecblank.gif">
          <a:extLst>
            <a:ext uri="{FF2B5EF4-FFF2-40B4-BE49-F238E27FC236}">
              <a16:creationId xmlns:a16="http://schemas.microsoft.com/office/drawing/2014/main" id="{B4BAD4DB-5F92-4D7D-B5D2-C6F106A0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29200" y="15525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76</xdr:row>
      <xdr:rowOff>171450</xdr:rowOff>
    </xdr:from>
    <xdr:to>
      <xdr:col>7</xdr:col>
      <xdr:colOff>9525</xdr:colOff>
      <xdr:row>76</xdr:row>
      <xdr:rowOff>180975</xdr:rowOff>
    </xdr:to>
    <xdr:pic>
      <xdr:nvPicPr>
        <xdr:cNvPr id="116" name="Picture 115" descr="http://www.abs.gov.au/icons/ecblank.gif">
          <a:extLst>
            <a:ext uri="{FF2B5EF4-FFF2-40B4-BE49-F238E27FC236}">
              <a16:creationId xmlns:a16="http://schemas.microsoft.com/office/drawing/2014/main" id="{ADE9198E-F419-48A8-99AE-F5A6F846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29200" y="15525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76</xdr:row>
      <xdr:rowOff>171450</xdr:rowOff>
    </xdr:from>
    <xdr:to>
      <xdr:col>7</xdr:col>
      <xdr:colOff>9525</xdr:colOff>
      <xdr:row>76</xdr:row>
      <xdr:rowOff>180975</xdr:rowOff>
    </xdr:to>
    <xdr:pic>
      <xdr:nvPicPr>
        <xdr:cNvPr id="117" name="Picture 116" descr="http://www.abs.gov.au/icons/ecblank.gif">
          <a:extLst>
            <a:ext uri="{FF2B5EF4-FFF2-40B4-BE49-F238E27FC236}">
              <a16:creationId xmlns:a16="http://schemas.microsoft.com/office/drawing/2014/main" id="{515D513C-39BE-47C1-827B-30B7574B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29200" y="15525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76</xdr:row>
      <xdr:rowOff>171450</xdr:rowOff>
    </xdr:from>
    <xdr:to>
      <xdr:col>7</xdr:col>
      <xdr:colOff>9525</xdr:colOff>
      <xdr:row>76</xdr:row>
      <xdr:rowOff>180975</xdr:rowOff>
    </xdr:to>
    <xdr:pic>
      <xdr:nvPicPr>
        <xdr:cNvPr id="118" name="Picture 117" descr="http://www.abs.gov.au/icons/ecblank.gif">
          <a:extLst>
            <a:ext uri="{FF2B5EF4-FFF2-40B4-BE49-F238E27FC236}">
              <a16:creationId xmlns:a16="http://schemas.microsoft.com/office/drawing/2014/main" id="{40B5CE06-A232-4441-8D1B-840C22CD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29200" y="15525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79</xdr:row>
      <xdr:rowOff>171450</xdr:rowOff>
    </xdr:from>
    <xdr:to>
      <xdr:col>8</xdr:col>
      <xdr:colOff>9525</xdr:colOff>
      <xdr:row>79</xdr:row>
      <xdr:rowOff>180975</xdr:rowOff>
    </xdr:to>
    <xdr:pic>
      <xdr:nvPicPr>
        <xdr:cNvPr id="119" name="Picture 118" descr="http://www.abs.gov.au/icons/ecblank.gif">
          <a:extLst>
            <a:ext uri="{FF2B5EF4-FFF2-40B4-BE49-F238E27FC236}">
              <a16:creationId xmlns:a16="http://schemas.microsoft.com/office/drawing/2014/main" id="{504754CD-9A50-4F16-B4C7-80A68ADD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62625" y="16097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20" name="Picture 119" descr="http://www.abs.gov.au/icons/ecblank.gif">
          <a:extLst>
            <a:ext uri="{FF2B5EF4-FFF2-40B4-BE49-F238E27FC236}">
              <a16:creationId xmlns:a16="http://schemas.microsoft.com/office/drawing/2014/main" id="{E6C7851B-338F-49D0-B2DB-9E442771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21" name="Picture 120" descr="http://www.abs.gov.au/icons/ecblank.gif">
          <a:extLst>
            <a:ext uri="{FF2B5EF4-FFF2-40B4-BE49-F238E27FC236}">
              <a16:creationId xmlns:a16="http://schemas.microsoft.com/office/drawing/2014/main" id="{CD23DB7F-F74C-46A2-8CD5-427C77A6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22" name="Picture 121" descr="http://www.abs.gov.au/icons/ecblank.gif">
          <a:extLst>
            <a:ext uri="{FF2B5EF4-FFF2-40B4-BE49-F238E27FC236}">
              <a16:creationId xmlns:a16="http://schemas.microsoft.com/office/drawing/2014/main" id="{7BAF3024-9453-4078-BC7E-6AC1C1CF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23" name="Picture 122" descr="http://www.abs.gov.au/icons/ecblank.gif">
          <a:extLst>
            <a:ext uri="{FF2B5EF4-FFF2-40B4-BE49-F238E27FC236}">
              <a16:creationId xmlns:a16="http://schemas.microsoft.com/office/drawing/2014/main" id="{4A3A34BB-A83C-4BE1-8B8B-A1F9B4E2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24" name="Picture 123" descr="http://www.abs.gov.au/icons/ecblank.gif">
          <a:extLst>
            <a:ext uri="{FF2B5EF4-FFF2-40B4-BE49-F238E27FC236}">
              <a16:creationId xmlns:a16="http://schemas.microsoft.com/office/drawing/2014/main" id="{DDEC52DF-8270-45F6-A03D-75CBF25A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25" name="Picture 124" descr="http://www.abs.gov.au/icons/ecblank.gif">
          <a:extLst>
            <a:ext uri="{FF2B5EF4-FFF2-40B4-BE49-F238E27FC236}">
              <a16:creationId xmlns:a16="http://schemas.microsoft.com/office/drawing/2014/main" id="{6FA81F6B-F4EF-4CF9-BBA9-31D468A7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26" name="Picture 125" descr="http://www.abs.gov.au/icons/ecblank.gif">
          <a:extLst>
            <a:ext uri="{FF2B5EF4-FFF2-40B4-BE49-F238E27FC236}">
              <a16:creationId xmlns:a16="http://schemas.microsoft.com/office/drawing/2014/main" id="{4A24AF08-0582-4A7E-82DF-01AA003D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27" name="Picture 126" descr="http://www.abs.gov.au/icons/ecblank.gif">
          <a:extLst>
            <a:ext uri="{FF2B5EF4-FFF2-40B4-BE49-F238E27FC236}">
              <a16:creationId xmlns:a16="http://schemas.microsoft.com/office/drawing/2014/main" id="{46DBE89D-2ABB-4B66-BA3D-39D13216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0</xdr:colOff>
      <xdr:row>82</xdr:row>
      <xdr:rowOff>9525</xdr:rowOff>
    </xdr:to>
    <xdr:pic>
      <xdr:nvPicPr>
        <xdr:cNvPr id="128" name="Picture 127" descr="http://www.abs.gov.au/icons/ecblank.gif">
          <a:extLst>
            <a:ext uri="{FF2B5EF4-FFF2-40B4-BE49-F238E27FC236}">
              <a16:creationId xmlns:a16="http://schemas.microsoft.com/office/drawing/2014/main" id="{B902B530-ECAF-4D48-93A2-2492F2F8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0</xdr:colOff>
      <xdr:row>82</xdr:row>
      <xdr:rowOff>9525</xdr:rowOff>
    </xdr:to>
    <xdr:pic>
      <xdr:nvPicPr>
        <xdr:cNvPr id="129" name="Picture 128" descr="http://www.abs.gov.au/icons/ecblank.gif">
          <a:extLst>
            <a:ext uri="{FF2B5EF4-FFF2-40B4-BE49-F238E27FC236}">
              <a16:creationId xmlns:a16="http://schemas.microsoft.com/office/drawing/2014/main" id="{A3175FB7-AE9E-4996-B14F-6A3E9CFF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9525</xdr:rowOff>
    </xdr:to>
    <xdr:pic>
      <xdr:nvPicPr>
        <xdr:cNvPr id="130" name="Picture 129" descr="http://www.abs.gov.au/icons/ecblank.gif">
          <a:extLst>
            <a:ext uri="{FF2B5EF4-FFF2-40B4-BE49-F238E27FC236}">
              <a16:creationId xmlns:a16="http://schemas.microsoft.com/office/drawing/2014/main" id="{AAE934DB-8B2A-49F3-8BE6-5C5A0956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9525</xdr:rowOff>
    </xdr:to>
    <xdr:pic>
      <xdr:nvPicPr>
        <xdr:cNvPr id="131" name="Picture 130" descr="http://www.abs.gov.au/icons/ecblank.gif">
          <a:extLst>
            <a:ext uri="{FF2B5EF4-FFF2-40B4-BE49-F238E27FC236}">
              <a16:creationId xmlns:a16="http://schemas.microsoft.com/office/drawing/2014/main" id="{156EF738-61A8-4E5B-890B-242BDF39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32" name="Picture 108" descr="http://www.abs.gov.au/icons/ecblank.gif">
          <a:extLst>
            <a:ext uri="{FF2B5EF4-FFF2-40B4-BE49-F238E27FC236}">
              <a16:creationId xmlns:a16="http://schemas.microsoft.com/office/drawing/2014/main" id="{57CDBF39-CB84-4774-B15C-E83ACDAD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33" name="Picture 109" descr="http://www.abs.gov.au/icons/ecblank.gif">
          <a:extLst>
            <a:ext uri="{FF2B5EF4-FFF2-40B4-BE49-F238E27FC236}">
              <a16:creationId xmlns:a16="http://schemas.microsoft.com/office/drawing/2014/main" id="{2AB5F563-D5DA-46F8-B964-484E6E56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34" name="Picture 110" descr="http://www.abs.gov.au/icons/ecblank.gif">
          <a:extLst>
            <a:ext uri="{FF2B5EF4-FFF2-40B4-BE49-F238E27FC236}">
              <a16:creationId xmlns:a16="http://schemas.microsoft.com/office/drawing/2014/main" id="{4E99875F-3F14-4FCA-8CD9-2E2DD30D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35" name="Picture 111" descr="http://www.abs.gov.au/icons/ecblank.gif">
          <a:extLst>
            <a:ext uri="{FF2B5EF4-FFF2-40B4-BE49-F238E27FC236}">
              <a16:creationId xmlns:a16="http://schemas.microsoft.com/office/drawing/2014/main" id="{505A30FC-909A-420B-9717-60430D69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36" name="Picture 135" descr="http://www.abs.gov.au/icons/ecblank.gif">
          <a:extLst>
            <a:ext uri="{FF2B5EF4-FFF2-40B4-BE49-F238E27FC236}">
              <a16:creationId xmlns:a16="http://schemas.microsoft.com/office/drawing/2014/main" id="{039A3B3A-AFE1-445B-B0CF-C23F3DCC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37" name="Picture 136" descr="http://www.abs.gov.au/icons/ecblank.gif">
          <a:extLst>
            <a:ext uri="{FF2B5EF4-FFF2-40B4-BE49-F238E27FC236}">
              <a16:creationId xmlns:a16="http://schemas.microsoft.com/office/drawing/2014/main" id="{F4B5F054-EE5D-4C26-BDA2-FB936D45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38" name="Picture 137" descr="http://www.abs.gov.au/icons/ecblank.gif">
          <a:extLst>
            <a:ext uri="{FF2B5EF4-FFF2-40B4-BE49-F238E27FC236}">
              <a16:creationId xmlns:a16="http://schemas.microsoft.com/office/drawing/2014/main" id="{87199301-A0C7-4B6A-BD4A-3D708E8D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39" name="Picture 138" descr="http://www.abs.gov.au/icons/ecblank.gif">
          <a:extLst>
            <a:ext uri="{FF2B5EF4-FFF2-40B4-BE49-F238E27FC236}">
              <a16:creationId xmlns:a16="http://schemas.microsoft.com/office/drawing/2014/main" id="{4ECC4B1F-7723-4E9F-9045-569257F1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40" name="Picture 139" descr="http://www.abs.gov.au/icons/ecblank.gif">
          <a:extLst>
            <a:ext uri="{FF2B5EF4-FFF2-40B4-BE49-F238E27FC236}">
              <a16:creationId xmlns:a16="http://schemas.microsoft.com/office/drawing/2014/main" id="{61A9DFBD-590F-492E-BB32-1D13CBB7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41" name="Picture 140" descr="http://www.abs.gov.au/icons/ecblank.gif">
          <a:extLst>
            <a:ext uri="{FF2B5EF4-FFF2-40B4-BE49-F238E27FC236}">
              <a16:creationId xmlns:a16="http://schemas.microsoft.com/office/drawing/2014/main" id="{DD14AA82-F33E-4043-960A-B40F92F4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42" name="Picture 141" descr="http://www.abs.gov.au/icons/ecblank.gif">
          <a:extLst>
            <a:ext uri="{FF2B5EF4-FFF2-40B4-BE49-F238E27FC236}">
              <a16:creationId xmlns:a16="http://schemas.microsoft.com/office/drawing/2014/main" id="{8DB394F9-40E6-44FE-8BF3-F1DDB675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43" name="Picture 142" descr="http://www.abs.gov.au/icons/ecblank.gif">
          <a:extLst>
            <a:ext uri="{FF2B5EF4-FFF2-40B4-BE49-F238E27FC236}">
              <a16:creationId xmlns:a16="http://schemas.microsoft.com/office/drawing/2014/main" id="{8072727F-BC91-4529-93F3-0FBAB598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144" name="Picture 143" descr="http://www.abs.gov.au/icons/ecblank.gif">
          <a:extLst>
            <a:ext uri="{FF2B5EF4-FFF2-40B4-BE49-F238E27FC236}">
              <a16:creationId xmlns:a16="http://schemas.microsoft.com/office/drawing/2014/main" id="{A7F0CB7E-356E-4CBD-996E-4F9399B5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145" name="Picture 144" descr="http://www.abs.gov.au/icons/ecblank.gif">
          <a:extLst>
            <a:ext uri="{FF2B5EF4-FFF2-40B4-BE49-F238E27FC236}">
              <a16:creationId xmlns:a16="http://schemas.microsoft.com/office/drawing/2014/main" id="{BF999B54-1D91-4205-98FA-9C3F7243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146" name="Picture 145" descr="http://www.abs.gov.au/icons/ecblank.gif">
          <a:extLst>
            <a:ext uri="{FF2B5EF4-FFF2-40B4-BE49-F238E27FC236}">
              <a16:creationId xmlns:a16="http://schemas.microsoft.com/office/drawing/2014/main" id="{7F814A52-2657-4683-90BF-52D79C75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147" name="Picture 146" descr="http://www.abs.gov.au/icons/ecblank.gif">
          <a:extLst>
            <a:ext uri="{FF2B5EF4-FFF2-40B4-BE49-F238E27FC236}">
              <a16:creationId xmlns:a16="http://schemas.microsoft.com/office/drawing/2014/main" id="{6D1F6326-303F-4F71-83C7-B8AD470C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48" name="Picture 108" descr="http://www.abs.gov.au/icons/ecblank.gif">
          <a:extLst>
            <a:ext uri="{FF2B5EF4-FFF2-40B4-BE49-F238E27FC236}">
              <a16:creationId xmlns:a16="http://schemas.microsoft.com/office/drawing/2014/main" id="{D43489BE-8DB1-42D8-A3E5-BF461BA5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49" name="Picture 109" descr="http://www.abs.gov.au/icons/ecblank.gif">
          <a:extLst>
            <a:ext uri="{FF2B5EF4-FFF2-40B4-BE49-F238E27FC236}">
              <a16:creationId xmlns:a16="http://schemas.microsoft.com/office/drawing/2014/main" id="{7F9FC843-AC6B-4458-BE50-CDD0FFF0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50" name="Picture 110" descr="http://www.abs.gov.au/icons/ecblank.gif">
          <a:extLst>
            <a:ext uri="{FF2B5EF4-FFF2-40B4-BE49-F238E27FC236}">
              <a16:creationId xmlns:a16="http://schemas.microsoft.com/office/drawing/2014/main" id="{0FD43A8F-53A9-4583-B21B-B294F82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51" name="Picture 111" descr="http://www.abs.gov.au/icons/ecblank.gif">
          <a:extLst>
            <a:ext uri="{FF2B5EF4-FFF2-40B4-BE49-F238E27FC236}">
              <a16:creationId xmlns:a16="http://schemas.microsoft.com/office/drawing/2014/main" id="{63F83DCB-44C4-44D7-9724-772B9BBC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52" name="Picture 151" descr="http://www.abs.gov.au/icons/ecblank.gif">
          <a:extLst>
            <a:ext uri="{FF2B5EF4-FFF2-40B4-BE49-F238E27FC236}">
              <a16:creationId xmlns:a16="http://schemas.microsoft.com/office/drawing/2014/main" id="{C3B8F683-1637-46C2-B1F2-16C45FBF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53" name="Picture 152" descr="http://www.abs.gov.au/icons/ecblank.gif">
          <a:extLst>
            <a:ext uri="{FF2B5EF4-FFF2-40B4-BE49-F238E27FC236}">
              <a16:creationId xmlns:a16="http://schemas.microsoft.com/office/drawing/2014/main" id="{5C94112E-667A-4AAE-833C-2B7B3A8D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54" name="Picture 153" descr="http://www.abs.gov.au/icons/ecblank.gif">
          <a:extLst>
            <a:ext uri="{FF2B5EF4-FFF2-40B4-BE49-F238E27FC236}">
              <a16:creationId xmlns:a16="http://schemas.microsoft.com/office/drawing/2014/main" id="{621F1D14-8D89-4BA7-9833-423051FC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55" name="Picture 154" descr="http://www.abs.gov.au/icons/ecblank.gif">
          <a:extLst>
            <a:ext uri="{FF2B5EF4-FFF2-40B4-BE49-F238E27FC236}">
              <a16:creationId xmlns:a16="http://schemas.microsoft.com/office/drawing/2014/main" id="{D844F474-1A0D-4B2F-8AAC-A90E0A9C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56" name="Picture 155" descr="http://www.abs.gov.au/icons/ecblank.gif">
          <a:extLst>
            <a:ext uri="{FF2B5EF4-FFF2-40B4-BE49-F238E27FC236}">
              <a16:creationId xmlns:a16="http://schemas.microsoft.com/office/drawing/2014/main" id="{32807F11-19BB-4FD1-AB61-FAB45291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57" name="Picture 156" descr="http://www.abs.gov.au/icons/ecblank.gif">
          <a:extLst>
            <a:ext uri="{FF2B5EF4-FFF2-40B4-BE49-F238E27FC236}">
              <a16:creationId xmlns:a16="http://schemas.microsoft.com/office/drawing/2014/main" id="{E551F69B-88FA-406B-BBCB-B3D65239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58" name="Picture 157" descr="http://www.abs.gov.au/icons/ecblank.gif">
          <a:extLst>
            <a:ext uri="{FF2B5EF4-FFF2-40B4-BE49-F238E27FC236}">
              <a16:creationId xmlns:a16="http://schemas.microsoft.com/office/drawing/2014/main" id="{10185E28-CE90-4655-85E1-5A06F330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59" name="Picture 158" descr="http://www.abs.gov.au/icons/ecblank.gif">
          <a:extLst>
            <a:ext uri="{FF2B5EF4-FFF2-40B4-BE49-F238E27FC236}">
              <a16:creationId xmlns:a16="http://schemas.microsoft.com/office/drawing/2014/main" id="{C7B0988C-19A6-4EAC-BCD6-235149EA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160" name="Picture 159" descr="http://www.abs.gov.au/icons/ecblank.gif">
          <a:extLst>
            <a:ext uri="{FF2B5EF4-FFF2-40B4-BE49-F238E27FC236}">
              <a16:creationId xmlns:a16="http://schemas.microsoft.com/office/drawing/2014/main" id="{CFEF584D-A937-4801-82FF-15B86637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161" name="Picture 160" descr="http://www.abs.gov.au/icons/ecblank.gif">
          <a:extLst>
            <a:ext uri="{FF2B5EF4-FFF2-40B4-BE49-F238E27FC236}">
              <a16:creationId xmlns:a16="http://schemas.microsoft.com/office/drawing/2014/main" id="{7538C8C3-6D11-408C-A620-B9E5F53B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162" name="Picture 161" descr="http://www.abs.gov.au/icons/ecblank.gif">
          <a:extLst>
            <a:ext uri="{FF2B5EF4-FFF2-40B4-BE49-F238E27FC236}">
              <a16:creationId xmlns:a16="http://schemas.microsoft.com/office/drawing/2014/main" id="{9C97C6DB-5A8F-48B4-847C-225CE192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163" name="Picture 162" descr="http://www.abs.gov.au/icons/ecblank.gif">
          <a:extLst>
            <a:ext uri="{FF2B5EF4-FFF2-40B4-BE49-F238E27FC236}">
              <a16:creationId xmlns:a16="http://schemas.microsoft.com/office/drawing/2014/main" id="{8FC9C5AF-F328-4917-94E1-1168C9CB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64" name="Picture 108" descr="http://www.abs.gov.au/icons/ecblank.gif">
          <a:extLst>
            <a:ext uri="{FF2B5EF4-FFF2-40B4-BE49-F238E27FC236}">
              <a16:creationId xmlns:a16="http://schemas.microsoft.com/office/drawing/2014/main" id="{D341B1A5-5694-47CB-890D-940C53B9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65" name="Picture 109" descr="http://www.abs.gov.au/icons/ecblank.gif">
          <a:extLst>
            <a:ext uri="{FF2B5EF4-FFF2-40B4-BE49-F238E27FC236}">
              <a16:creationId xmlns:a16="http://schemas.microsoft.com/office/drawing/2014/main" id="{6A09F056-4714-468A-A080-A094D4D6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66" name="Picture 110" descr="http://www.abs.gov.au/icons/ecblank.gif">
          <a:extLst>
            <a:ext uri="{FF2B5EF4-FFF2-40B4-BE49-F238E27FC236}">
              <a16:creationId xmlns:a16="http://schemas.microsoft.com/office/drawing/2014/main" id="{95E95064-5CDD-420F-B788-65D98834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67" name="Picture 111" descr="http://www.abs.gov.au/icons/ecblank.gif">
          <a:extLst>
            <a:ext uri="{FF2B5EF4-FFF2-40B4-BE49-F238E27FC236}">
              <a16:creationId xmlns:a16="http://schemas.microsoft.com/office/drawing/2014/main" id="{A76283B0-08DB-437F-A5C0-C315C044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68" name="Picture 167" descr="http://www.abs.gov.au/icons/ecblank.gif">
          <a:extLst>
            <a:ext uri="{FF2B5EF4-FFF2-40B4-BE49-F238E27FC236}">
              <a16:creationId xmlns:a16="http://schemas.microsoft.com/office/drawing/2014/main" id="{0BC1372F-7140-4FB6-B7F2-1A651EB3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69" name="Picture 168" descr="http://www.abs.gov.au/icons/ecblank.gif">
          <a:extLst>
            <a:ext uri="{FF2B5EF4-FFF2-40B4-BE49-F238E27FC236}">
              <a16:creationId xmlns:a16="http://schemas.microsoft.com/office/drawing/2014/main" id="{F5F2EDA4-5D9B-48AB-BDEC-AE9259B6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70" name="Picture 169" descr="http://www.abs.gov.au/icons/ecblank.gif">
          <a:extLst>
            <a:ext uri="{FF2B5EF4-FFF2-40B4-BE49-F238E27FC236}">
              <a16:creationId xmlns:a16="http://schemas.microsoft.com/office/drawing/2014/main" id="{443C0D20-3A0A-4719-89D0-E9264270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71" name="Picture 170" descr="http://www.abs.gov.au/icons/ecblank.gif">
          <a:extLst>
            <a:ext uri="{FF2B5EF4-FFF2-40B4-BE49-F238E27FC236}">
              <a16:creationId xmlns:a16="http://schemas.microsoft.com/office/drawing/2014/main" id="{3546BE43-B408-404D-9E5F-BC21CD3B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72" name="Picture 171" descr="http://www.abs.gov.au/icons/ecblank.gif">
          <a:extLst>
            <a:ext uri="{FF2B5EF4-FFF2-40B4-BE49-F238E27FC236}">
              <a16:creationId xmlns:a16="http://schemas.microsoft.com/office/drawing/2014/main" id="{A4333302-6A50-4A9A-B58C-80119EA8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73" name="Picture 172" descr="http://www.abs.gov.au/icons/ecblank.gif">
          <a:extLst>
            <a:ext uri="{FF2B5EF4-FFF2-40B4-BE49-F238E27FC236}">
              <a16:creationId xmlns:a16="http://schemas.microsoft.com/office/drawing/2014/main" id="{2A77D40C-86D2-42D7-A482-550E2D59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74" name="Picture 173" descr="http://www.abs.gov.au/icons/ecblank.gif">
          <a:extLst>
            <a:ext uri="{FF2B5EF4-FFF2-40B4-BE49-F238E27FC236}">
              <a16:creationId xmlns:a16="http://schemas.microsoft.com/office/drawing/2014/main" id="{D030A253-225B-4D52-9BD1-03D16CE4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75" name="Picture 174" descr="http://www.abs.gov.au/icons/ecblank.gif">
          <a:extLst>
            <a:ext uri="{FF2B5EF4-FFF2-40B4-BE49-F238E27FC236}">
              <a16:creationId xmlns:a16="http://schemas.microsoft.com/office/drawing/2014/main" id="{F0F0AB06-F82D-4DE5-AD8B-06AEDD05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77</xdr:row>
      <xdr:rowOff>171450</xdr:rowOff>
    </xdr:from>
    <xdr:to>
      <xdr:col>6</xdr:col>
      <xdr:colOff>9525</xdr:colOff>
      <xdr:row>77</xdr:row>
      <xdr:rowOff>180975</xdr:rowOff>
    </xdr:to>
    <xdr:pic>
      <xdr:nvPicPr>
        <xdr:cNvPr id="176" name="Picture 175" descr="http://www.abs.gov.au/icons/ecblank.gif">
          <a:extLst>
            <a:ext uri="{FF2B5EF4-FFF2-40B4-BE49-F238E27FC236}">
              <a16:creationId xmlns:a16="http://schemas.microsoft.com/office/drawing/2014/main" id="{B864298B-B0C0-4849-A82F-33AEAEA4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71975" y="15716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77</xdr:row>
      <xdr:rowOff>171450</xdr:rowOff>
    </xdr:from>
    <xdr:to>
      <xdr:col>6</xdr:col>
      <xdr:colOff>9525</xdr:colOff>
      <xdr:row>77</xdr:row>
      <xdr:rowOff>180975</xdr:rowOff>
    </xdr:to>
    <xdr:pic>
      <xdr:nvPicPr>
        <xdr:cNvPr id="177" name="Picture 176" descr="http://www.abs.gov.au/icons/ecblank.gif">
          <a:extLst>
            <a:ext uri="{FF2B5EF4-FFF2-40B4-BE49-F238E27FC236}">
              <a16:creationId xmlns:a16="http://schemas.microsoft.com/office/drawing/2014/main" id="{EEAA06F0-C34C-4697-8E13-0BCAADA0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71975" y="15716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77</xdr:row>
      <xdr:rowOff>171450</xdr:rowOff>
    </xdr:from>
    <xdr:to>
      <xdr:col>6</xdr:col>
      <xdr:colOff>9525</xdr:colOff>
      <xdr:row>77</xdr:row>
      <xdr:rowOff>180975</xdr:rowOff>
    </xdr:to>
    <xdr:pic>
      <xdr:nvPicPr>
        <xdr:cNvPr id="178" name="Picture 177" descr="http://www.abs.gov.au/icons/ecblank.gif">
          <a:extLst>
            <a:ext uri="{FF2B5EF4-FFF2-40B4-BE49-F238E27FC236}">
              <a16:creationId xmlns:a16="http://schemas.microsoft.com/office/drawing/2014/main" id="{8422B406-A09D-465D-B5FC-396528747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71975" y="15716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77</xdr:row>
      <xdr:rowOff>171450</xdr:rowOff>
    </xdr:from>
    <xdr:to>
      <xdr:col>6</xdr:col>
      <xdr:colOff>9525</xdr:colOff>
      <xdr:row>77</xdr:row>
      <xdr:rowOff>180975</xdr:rowOff>
    </xdr:to>
    <xdr:pic>
      <xdr:nvPicPr>
        <xdr:cNvPr id="179" name="Picture 178" descr="http://www.abs.gov.au/icons/ecblank.gif">
          <a:extLst>
            <a:ext uri="{FF2B5EF4-FFF2-40B4-BE49-F238E27FC236}">
              <a16:creationId xmlns:a16="http://schemas.microsoft.com/office/drawing/2014/main" id="{4276C44C-47E2-418F-AF35-169D1A05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71975" y="15716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77</xdr:row>
      <xdr:rowOff>171450</xdr:rowOff>
    </xdr:from>
    <xdr:to>
      <xdr:col>6</xdr:col>
      <xdr:colOff>9525</xdr:colOff>
      <xdr:row>77</xdr:row>
      <xdr:rowOff>180975</xdr:rowOff>
    </xdr:to>
    <xdr:pic>
      <xdr:nvPicPr>
        <xdr:cNvPr id="180" name="Picture 179" descr="http://www.abs.gov.au/icons/ecblank.gif">
          <a:extLst>
            <a:ext uri="{FF2B5EF4-FFF2-40B4-BE49-F238E27FC236}">
              <a16:creationId xmlns:a16="http://schemas.microsoft.com/office/drawing/2014/main" id="{E0DB7ADD-218D-4ABC-ADAD-C9B1D73B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71975" y="15716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81" name="Picture 180" descr="http://www.abs.gov.au/icons/ecblank.gif">
          <a:extLst>
            <a:ext uri="{FF2B5EF4-FFF2-40B4-BE49-F238E27FC236}">
              <a16:creationId xmlns:a16="http://schemas.microsoft.com/office/drawing/2014/main" id="{43954295-4768-4985-A80B-1069D216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82" name="Picture 181" descr="http://www.abs.gov.au/icons/ecblank.gif">
          <a:extLst>
            <a:ext uri="{FF2B5EF4-FFF2-40B4-BE49-F238E27FC236}">
              <a16:creationId xmlns:a16="http://schemas.microsoft.com/office/drawing/2014/main" id="{761B5EED-9D7B-40B3-9A8C-F20DD379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83" name="Picture 182" descr="http://www.abs.gov.au/icons/ecblank.gif">
          <a:extLst>
            <a:ext uri="{FF2B5EF4-FFF2-40B4-BE49-F238E27FC236}">
              <a16:creationId xmlns:a16="http://schemas.microsoft.com/office/drawing/2014/main" id="{C8776E61-6D63-4546-B68E-FA324DA7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84" name="Picture 183" descr="http://www.abs.gov.au/icons/ecblank.gif">
          <a:extLst>
            <a:ext uri="{FF2B5EF4-FFF2-40B4-BE49-F238E27FC236}">
              <a16:creationId xmlns:a16="http://schemas.microsoft.com/office/drawing/2014/main" id="{5C7A0E20-5673-40F1-9AC0-32C3F117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85" name="Picture 184" descr="http://www.abs.gov.au/icons/ecblank.gif">
          <a:extLst>
            <a:ext uri="{FF2B5EF4-FFF2-40B4-BE49-F238E27FC236}">
              <a16:creationId xmlns:a16="http://schemas.microsoft.com/office/drawing/2014/main" id="{3E898149-C1AC-45E0-8E78-F432E4D4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86" name="Picture 185" descr="http://www.abs.gov.au/icons/ecblank.gif">
          <a:extLst>
            <a:ext uri="{FF2B5EF4-FFF2-40B4-BE49-F238E27FC236}">
              <a16:creationId xmlns:a16="http://schemas.microsoft.com/office/drawing/2014/main" id="{EA8B4FBE-B6B1-4FAE-ABFE-584CC8F0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87" name="Picture 186" descr="http://www.abs.gov.au/icons/ecblank.gif">
          <a:extLst>
            <a:ext uri="{FF2B5EF4-FFF2-40B4-BE49-F238E27FC236}">
              <a16:creationId xmlns:a16="http://schemas.microsoft.com/office/drawing/2014/main" id="{47C2DA2B-891A-4DE2-8E1B-86F7F618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88" name="Picture 187" descr="http://www.abs.gov.au/icons/ecblank.gif">
          <a:extLst>
            <a:ext uri="{FF2B5EF4-FFF2-40B4-BE49-F238E27FC236}">
              <a16:creationId xmlns:a16="http://schemas.microsoft.com/office/drawing/2014/main" id="{AD4CCA8A-09F6-443A-9801-CC250A10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189" name="Picture 188" descr="http://www.abs.gov.au/icons/ecblank.gif">
          <a:extLst>
            <a:ext uri="{FF2B5EF4-FFF2-40B4-BE49-F238E27FC236}">
              <a16:creationId xmlns:a16="http://schemas.microsoft.com/office/drawing/2014/main" id="{DC9EFF84-7888-4096-B2A8-49755C65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21030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190" name="Picture 189" descr="http://www.abs.gov.au/icons/ecblank.gif">
          <a:extLst>
            <a:ext uri="{FF2B5EF4-FFF2-40B4-BE49-F238E27FC236}">
              <a16:creationId xmlns:a16="http://schemas.microsoft.com/office/drawing/2014/main" id="{21D079C0-1796-4E18-BD61-BE1A5F6C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21030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191" name="Picture 190" descr="http://www.abs.gov.au/icons/ecblank.gif">
          <a:extLst>
            <a:ext uri="{FF2B5EF4-FFF2-40B4-BE49-F238E27FC236}">
              <a16:creationId xmlns:a16="http://schemas.microsoft.com/office/drawing/2014/main" id="{8B50A71A-AB80-4C5F-A16F-B92A53D5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21030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192" name="Picture 191" descr="http://www.abs.gov.au/icons/ecblank.gif">
          <a:extLst>
            <a:ext uri="{FF2B5EF4-FFF2-40B4-BE49-F238E27FC236}">
              <a16:creationId xmlns:a16="http://schemas.microsoft.com/office/drawing/2014/main" id="{E7469641-6E9C-4530-8D84-6677F0D0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21030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93" name="Picture 108" descr="http://www.abs.gov.au/icons/ecblank.gif">
          <a:extLst>
            <a:ext uri="{FF2B5EF4-FFF2-40B4-BE49-F238E27FC236}">
              <a16:creationId xmlns:a16="http://schemas.microsoft.com/office/drawing/2014/main" id="{E2199E9D-A011-4B4B-AA3F-9A096988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94" name="Picture 109" descr="http://www.abs.gov.au/icons/ecblank.gif">
          <a:extLst>
            <a:ext uri="{FF2B5EF4-FFF2-40B4-BE49-F238E27FC236}">
              <a16:creationId xmlns:a16="http://schemas.microsoft.com/office/drawing/2014/main" id="{68695AB5-DBF0-4886-87D3-8548B6C0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95" name="Picture 110" descr="http://www.abs.gov.au/icons/ecblank.gif">
          <a:extLst>
            <a:ext uri="{FF2B5EF4-FFF2-40B4-BE49-F238E27FC236}">
              <a16:creationId xmlns:a16="http://schemas.microsoft.com/office/drawing/2014/main" id="{96E04869-6CAA-43A6-8950-38034BEA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96" name="Picture 111" descr="http://www.abs.gov.au/icons/ecblank.gif">
          <a:extLst>
            <a:ext uri="{FF2B5EF4-FFF2-40B4-BE49-F238E27FC236}">
              <a16:creationId xmlns:a16="http://schemas.microsoft.com/office/drawing/2014/main" id="{31F5D142-7CA8-4AD6-BF99-9A02030B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97" name="Picture 196" descr="http://www.abs.gov.au/icons/ecblank.gif">
          <a:extLst>
            <a:ext uri="{FF2B5EF4-FFF2-40B4-BE49-F238E27FC236}">
              <a16:creationId xmlns:a16="http://schemas.microsoft.com/office/drawing/2014/main" id="{D0B1134D-040D-41E6-9C9C-281C8271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98" name="Picture 197" descr="http://www.abs.gov.au/icons/ecblank.gif">
          <a:extLst>
            <a:ext uri="{FF2B5EF4-FFF2-40B4-BE49-F238E27FC236}">
              <a16:creationId xmlns:a16="http://schemas.microsoft.com/office/drawing/2014/main" id="{DD9E6060-B811-4809-A326-44F0CD3A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99" name="Picture 198" descr="http://www.abs.gov.au/icons/ecblank.gif">
          <a:extLst>
            <a:ext uri="{FF2B5EF4-FFF2-40B4-BE49-F238E27FC236}">
              <a16:creationId xmlns:a16="http://schemas.microsoft.com/office/drawing/2014/main" id="{B2B819DD-17BB-4338-B82B-A7166F83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200" name="Picture 199" descr="http://www.abs.gov.au/icons/ecblank.gif">
          <a:extLst>
            <a:ext uri="{FF2B5EF4-FFF2-40B4-BE49-F238E27FC236}">
              <a16:creationId xmlns:a16="http://schemas.microsoft.com/office/drawing/2014/main" id="{A14DABA4-C855-4064-BB15-76EE85B8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1" name="Picture 200" descr="http://www.abs.gov.au/icons/ecblank.gif">
          <a:extLst>
            <a:ext uri="{FF2B5EF4-FFF2-40B4-BE49-F238E27FC236}">
              <a16:creationId xmlns:a16="http://schemas.microsoft.com/office/drawing/2014/main" id="{8AA1FD91-2F4A-4F5C-A136-B5B91046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2" name="Picture 201" descr="http://www.abs.gov.au/icons/ecblank.gif">
          <a:extLst>
            <a:ext uri="{FF2B5EF4-FFF2-40B4-BE49-F238E27FC236}">
              <a16:creationId xmlns:a16="http://schemas.microsoft.com/office/drawing/2014/main" id="{CAB185E4-985C-486D-9D83-F46C666F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203" name="Picture 202" descr="http://www.abs.gov.au/icons/ecblank.gif">
          <a:extLst>
            <a:ext uri="{FF2B5EF4-FFF2-40B4-BE49-F238E27FC236}">
              <a16:creationId xmlns:a16="http://schemas.microsoft.com/office/drawing/2014/main" id="{60C1DB77-148C-416B-9470-C4D1DA75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204" name="Picture 203" descr="http://www.abs.gov.au/icons/ecblank.gif">
          <a:extLst>
            <a:ext uri="{FF2B5EF4-FFF2-40B4-BE49-F238E27FC236}">
              <a16:creationId xmlns:a16="http://schemas.microsoft.com/office/drawing/2014/main" id="{BDB6B63C-3BEB-4638-9914-3186A2FC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205" name="Picture 204" descr="http://www.abs.gov.au/icons/ecblank.gif">
          <a:extLst>
            <a:ext uri="{FF2B5EF4-FFF2-40B4-BE49-F238E27FC236}">
              <a16:creationId xmlns:a16="http://schemas.microsoft.com/office/drawing/2014/main" id="{865F4F5B-D8CE-4F8B-998E-D4C9F7E1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21030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206" name="Picture 205" descr="http://www.abs.gov.au/icons/ecblank.gif">
          <a:extLst>
            <a:ext uri="{FF2B5EF4-FFF2-40B4-BE49-F238E27FC236}">
              <a16:creationId xmlns:a16="http://schemas.microsoft.com/office/drawing/2014/main" id="{044E2126-52F8-4D0D-9855-0197D3EE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21030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207" name="Picture 206" descr="http://www.abs.gov.au/icons/ecblank.gif">
          <a:extLst>
            <a:ext uri="{FF2B5EF4-FFF2-40B4-BE49-F238E27FC236}">
              <a16:creationId xmlns:a16="http://schemas.microsoft.com/office/drawing/2014/main" id="{90BC602D-A2CD-4FD7-82B5-B6645D93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21030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208" name="Picture 207" descr="http://www.abs.gov.au/icons/ecblank.gif">
          <a:extLst>
            <a:ext uri="{FF2B5EF4-FFF2-40B4-BE49-F238E27FC236}">
              <a16:creationId xmlns:a16="http://schemas.microsoft.com/office/drawing/2014/main" id="{B6C899EF-3E81-4AC4-A6BC-E521D41A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21030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9" name="Picture 108" descr="http://www.abs.gov.au/icons/ecblank.gif">
          <a:extLst>
            <a:ext uri="{FF2B5EF4-FFF2-40B4-BE49-F238E27FC236}">
              <a16:creationId xmlns:a16="http://schemas.microsoft.com/office/drawing/2014/main" id="{23D2A0F7-0C3D-48A7-8D62-3A4707D3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10" name="Picture 109" descr="http://www.abs.gov.au/icons/ecblank.gif">
          <a:extLst>
            <a:ext uri="{FF2B5EF4-FFF2-40B4-BE49-F238E27FC236}">
              <a16:creationId xmlns:a16="http://schemas.microsoft.com/office/drawing/2014/main" id="{A8E8D345-44DE-4219-9202-68A0F11E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211" name="Picture 110" descr="http://www.abs.gov.au/icons/ecblank.gif">
          <a:extLst>
            <a:ext uri="{FF2B5EF4-FFF2-40B4-BE49-F238E27FC236}">
              <a16:creationId xmlns:a16="http://schemas.microsoft.com/office/drawing/2014/main" id="{7CDBF2C3-ACC0-486C-AB02-5B3C1C51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212" name="Picture 111" descr="http://www.abs.gov.au/icons/ecblank.gif">
          <a:extLst>
            <a:ext uri="{FF2B5EF4-FFF2-40B4-BE49-F238E27FC236}">
              <a16:creationId xmlns:a16="http://schemas.microsoft.com/office/drawing/2014/main" id="{EA21CEFF-48FF-43C7-87ED-DAE55303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958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213" name="Picture 212" descr="http://www.abs.gov.au/icons/ecblank.gif">
          <a:extLst>
            <a:ext uri="{FF2B5EF4-FFF2-40B4-BE49-F238E27FC236}">
              <a16:creationId xmlns:a16="http://schemas.microsoft.com/office/drawing/2014/main" id="{47A5C85E-F62B-49EC-BE5C-95560A55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437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214" name="Picture 213" descr="http://www.abs.gov.au/icons/ecblank.gif">
          <a:extLst>
            <a:ext uri="{FF2B5EF4-FFF2-40B4-BE49-F238E27FC236}">
              <a16:creationId xmlns:a16="http://schemas.microsoft.com/office/drawing/2014/main" id="{B686FD8B-7416-4A6B-9CC6-6233465E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437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215" name="Picture 214" descr="http://www.abs.gov.au/icons/ecblank.gif">
          <a:extLst>
            <a:ext uri="{FF2B5EF4-FFF2-40B4-BE49-F238E27FC236}">
              <a16:creationId xmlns:a16="http://schemas.microsoft.com/office/drawing/2014/main" id="{4283E196-8F36-4F10-B36F-0B828DBF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437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216" name="Picture 215" descr="http://www.abs.gov.au/icons/ecblank.gif">
          <a:extLst>
            <a:ext uri="{FF2B5EF4-FFF2-40B4-BE49-F238E27FC236}">
              <a16:creationId xmlns:a16="http://schemas.microsoft.com/office/drawing/2014/main" id="{1FF53ED1-B445-41F8-B451-9D825131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437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217" name="Picture 216" descr="http://www.abs.gov.au/icons/ecblank.gif">
          <a:extLst>
            <a:ext uri="{FF2B5EF4-FFF2-40B4-BE49-F238E27FC236}">
              <a16:creationId xmlns:a16="http://schemas.microsoft.com/office/drawing/2014/main" id="{21B78EE4-F0E9-48F3-A647-DFFA1636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437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218" name="Picture 217" descr="http://www.abs.gov.au/icons/ecblank.gif">
          <a:extLst>
            <a:ext uri="{FF2B5EF4-FFF2-40B4-BE49-F238E27FC236}">
              <a16:creationId xmlns:a16="http://schemas.microsoft.com/office/drawing/2014/main" id="{1544D297-8DB3-4595-9D9A-EA2C8883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437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219" name="Picture 218" descr="http://www.abs.gov.au/icons/ecblank.gif">
          <a:extLst>
            <a:ext uri="{FF2B5EF4-FFF2-40B4-BE49-F238E27FC236}">
              <a16:creationId xmlns:a16="http://schemas.microsoft.com/office/drawing/2014/main" id="{19E6F5B3-3C99-4F84-956F-151F2CBD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437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220" name="Picture 219" descr="http://www.abs.gov.au/icons/ecblank.gif">
          <a:extLst>
            <a:ext uri="{FF2B5EF4-FFF2-40B4-BE49-F238E27FC236}">
              <a16:creationId xmlns:a16="http://schemas.microsoft.com/office/drawing/2014/main" id="{79A35581-660F-4623-A1B9-F964071F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437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221" name="Picture 220" descr="http://www.abs.gov.au/icons/ecblank.gif">
          <a:extLst>
            <a:ext uri="{FF2B5EF4-FFF2-40B4-BE49-F238E27FC236}">
              <a16:creationId xmlns:a16="http://schemas.microsoft.com/office/drawing/2014/main" id="{50FA65D2-C072-4E8B-AF06-E1B8D8E2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905375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222" name="Picture 221" descr="http://www.abs.gov.au/icons/ecblank.gif">
          <a:extLst>
            <a:ext uri="{FF2B5EF4-FFF2-40B4-BE49-F238E27FC236}">
              <a16:creationId xmlns:a16="http://schemas.microsoft.com/office/drawing/2014/main" id="{7D51FF65-3F59-44ED-A023-AB66CC7A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905375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223" name="Picture 222" descr="http://www.abs.gov.au/icons/ecblank.gif">
          <a:extLst>
            <a:ext uri="{FF2B5EF4-FFF2-40B4-BE49-F238E27FC236}">
              <a16:creationId xmlns:a16="http://schemas.microsoft.com/office/drawing/2014/main" id="{CBD44499-47C3-43CC-AF82-BBD331E5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905375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224" name="Picture 223" descr="http://www.abs.gov.au/icons/ecblank.gif">
          <a:extLst>
            <a:ext uri="{FF2B5EF4-FFF2-40B4-BE49-F238E27FC236}">
              <a16:creationId xmlns:a16="http://schemas.microsoft.com/office/drawing/2014/main" id="{70C75114-3EED-4003-A43B-699D8021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905375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225" name="Picture 224" descr="http://www.abs.gov.au/icons/ecblank.gif">
          <a:extLst>
            <a:ext uri="{FF2B5EF4-FFF2-40B4-BE49-F238E27FC236}">
              <a16:creationId xmlns:a16="http://schemas.microsoft.com/office/drawing/2014/main" id="{8D0D58E0-A43B-4C98-BBF4-BF221EE0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905375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79</xdr:row>
      <xdr:rowOff>171450</xdr:rowOff>
    </xdr:from>
    <xdr:to>
      <xdr:col>7</xdr:col>
      <xdr:colOff>9525</xdr:colOff>
      <xdr:row>79</xdr:row>
      <xdr:rowOff>180975</xdr:rowOff>
    </xdr:to>
    <xdr:pic>
      <xdr:nvPicPr>
        <xdr:cNvPr id="226" name="Picture 225" descr="http://www.abs.gov.au/icons/ecblank.gif">
          <a:extLst>
            <a:ext uri="{FF2B5EF4-FFF2-40B4-BE49-F238E27FC236}">
              <a16:creationId xmlns:a16="http://schemas.microsoft.com/office/drawing/2014/main" id="{922F8C37-4292-4C0C-A025-E8649B11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38800" y="16011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227" name="Picture 226" descr="http://www.abs.gov.au/icons/ecblank.gif">
          <a:extLst>
            <a:ext uri="{FF2B5EF4-FFF2-40B4-BE49-F238E27FC236}">
              <a16:creationId xmlns:a16="http://schemas.microsoft.com/office/drawing/2014/main" id="{630DA4F0-90AC-4F3B-A5AE-33347643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228" name="Picture 227" descr="http://www.abs.gov.au/icons/ecblank.gif">
          <a:extLst>
            <a:ext uri="{FF2B5EF4-FFF2-40B4-BE49-F238E27FC236}">
              <a16:creationId xmlns:a16="http://schemas.microsoft.com/office/drawing/2014/main" id="{DA59DDDC-CDFB-48CB-9EB7-E4E45409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229" name="Picture 228" descr="http://www.abs.gov.au/icons/ecblank.gif">
          <a:extLst>
            <a:ext uri="{FF2B5EF4-FFF2-40B4-BE49-F238E27FC236}">
              <a16:creationId xmlns:a16="http://schemas.microsoft.com/office/drawing/2014/main" id="{8B767289-A73D-4DC5-9ED0-C4663FF3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230" name="Picture 229" descr="http://www.abs.gov.au/icons/ecblank.gif">
          <a:extLst>
            <a:ext uri="{FF2B5EF4-FFF2-40B4-BE49-F238E27FC236}">
              <a16:creationId xmlns:a16="http://schemas.microsoft.com/office/drawing/2014/main" id="{8D690082-F96F-424B-B367-B02BEDC2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231" name="Picture 230" descr="http://www.abs.gov.au/icons/ecblank.gif">
          <a:extLst>
            <a:ext uri="{FF2B5EF4-FFF2-40B4-BE49-F238E27FC236}">
              <a16:creationId xmlns:a16="http://schemas.microsoft.com/office/drawing/2014/main" id="{51245835-E8BF-44E8-81DC-1F86D695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232" name="Picture 231" descr="http://www.abs.gov.au/icons/ecblank.gif">
          <a:extLst>
            <a:ext uri="{FF2B5EF4-FFF2-40B4-BE49-F238E27FC236}">
              <a16:creationId xmlns:a16="http://schemas.microsoft.com/office/drawing/2014/main" id="{1A62C4C8-B85B-405F-B4BD-52C146B0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233" name="Picture 232" descr="http://www.abs.gov.au/icons/ecblank.gif">
          <a:extLst>
            <a:ext uri="{FF2B5EF4-FFF2-40B4-BE49-F238E27FC236}">
              <a16:creationId xmlns:a16="http://schemas.microsoft.com/office/drawing/2014/main" id="{2C8913F8-F6A6-4B70-846C-9200F5A2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234" name="Picture 233" descr="http://www.abs.gov.au/icons/ecblank.gif">
          <a:extLst>
            <a:ext uri="{FF2B5EF4-FFF2-40B4-BE49-F238E27FC236}">
              <a16:creationId xmlns:a16="http://schemas.microsoft.com/office/drawing/2014/main" id="{C283C0B2-419C-46AF-8142-95CC6BC2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0</xdr:colOff>
      <xdr:row>83</xdr:row>
      <xdr:rowOff>9525</xdr:rowOff>
    </xdr:to>
    <xdr:pic>
      <xdr:nvPicPr>
        <xdr:cNvPr id="235" name="Picture 234" descr="http://www.abs.gov.au/icons/ecblank.gif">
          <a:extLst>
            <a:ext uri="{FF2B5EF4-FFF2-40B4-BE49-F238E27FC236}">
              <a16:creationId xmlns:a16="http://schemas.microsoft.com/office/drawing/2014/main" id="{1BE32A5D-BD17-47F1-AE78-9626601A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6602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0</xdr:colOff>
      <xdr:row>83</xdr:row>
      <xdr:rowOff>9525</xdr:rowOff>
    </xdr:to>
    <xdr:pic>
      <xdr:nvPicPr>
        <xdr:cNvPr id="236" name="Picture 235" descr="http://www.abs.gov.au/icons/ecblank.gif">
          <a:extLst>
            <a:ext uri="{FF2B5EF4-FFF2-40B4-BE49-F238E27FC236}">
              <a16:creationId xmlns:a16="http://schemas.microsoft.com/office/drawing/2014/main" id="{1B841456-B48D-4008-8F07-9865579B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6602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9</xdr:col>
      <xdr:colOff>0</xdr:colOff>
      <xdr:row>99</xdr:row>
      <xdr:rowOff>9525</xdr:rowOff>
    </xdr:to>
    <xdr:pic>
      <xdr:nvPicPr>
        <xdr:cNvPr id="237" name="Picture 236" descr="http://www.abs.gov.au/icons/ecblank.gif">
          <a:extLst>
            <a:ext uri="{FF2B5EF4-FFF2-40B4-BE49-F238E27FC236}">
              <a16:creationId xmlns:a16="http://schemas.microsoft.com/office/drawing/2014/main" id="{0313CBD6-E1C0-44CF-9F6F-AAD57A9E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965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9</xdr:col>
      <xdr:colOff>0</xdr:colOff>
      <xdr:row>99</xdr:row>
      <xdr:rowOff>9525</xdr:rowOff>
    </xdr:to>
    <xdr:pic>
      <xdr:nvPicPr>
        <xdr:cNvPr id="238" name="Picture 237" descr="http://www.abs.gov.au/icons/ecblank.gif">
          <a:extLst>
            <a:ext uri="{FF2B5EF4-FFF2-40B4-BE49-F238E27FC236}">
              <a16:creationId xmlns:a16="http://schemas.microsoft.com/office/drawing/2014/main" id="{F9D28B36-7191-417A-822F-144E1AF7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965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239" name="Picture 108" descr="http://www.abs.gov.au/icons/ecblank.gif">
          <a:extLst>
            <a:ext uri="{FF2B5EF4-FFF2-40B4-BE49-F238E27FC236}">
              <a16:creationId xmlns:a16="http://schemas.microsoft.com/office/drawing/2014/main" id="{7EE8E7BB-4BE0-45AC-8651-456B9A78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240" name="Picture 109" descr="http://www.abs.gov.au/icons/ecblank.gif">
          <a:extLst>
            <a:ext uri="{FF2B5EF4-FFF2-40B4-BE49-F238E27FC236}">
              <a16:creationId xmlns:a16="http://schemas.microsoft.com/office/drawing/2014/main" id="{CB8714E6-D82F-4572-B3C4-DEEC5693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241" name="Picture 110" descr="http://www.abs.gov.au/icons/ecblank.gif">
          <a:extLst>
            <a:ext uri="{FF2B5EF4-FFF2-40B4-BE49-F238E27FC236}">
              <a16:creationId xmlns:a16="http://schemas.microsoft.com/office/drawing/2014/main" id="{DD71EDF7-8896-43B0-AFAB-E54E17A6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242" name="Picture 111" descr="http://www.abs.gov.au/icons/ecblank.gif">
          <a:extLst>
            <a:ext uri="{FF2B5EF4-FFF2-40B4-BE49-F238E27FC236}">
              <a16:creationId xmlns:a16="http://schemas.microsoft.com/office/drawing/2014/main" id="{2CD523F4-DEA3-4249-8FA0-827C0461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243" name="Picture 242" descr="http://www.abs.gov.au/icons/ecblank.gif">
          <a:extLst>
            <a:ext uri="{FF2B5EF4-FFF2-40B4-BE49-F238E27FC236}">
              <a16:creationId xmlns:a16="http://schemas.microsoft.com/office/drawing/2014/main" id="{211F85B9-24BC-417C-A493-104A21C1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244" name="Picture 243" descr="http://www.abs.gov.au/icons/ecblank.gif">
          <a:extLst>
            <a:ext uri="{FF2B5EF4-FFF2-40B4-BE49-F238E27FC236}">
              <a16:creationId xmlns:a16="http://schemas.microsoft.com/office/drawing/2014/main" id="{CE1E0D2A-ADE2-4050-A92D-60ECC775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245" name="Picture 244" descr="http://www.abs.gov.au/icons/ecblank.gif">
          <a:extLst>
            <a:ext uri="{FF2B5EF4-FFF2-40B4-BE49-F238E27FC236}">
              <a16:creationId xmlns:a16="http://schemas.microsoft.com/office/drawing/2014/main" id="{F6D773B3-7463-4395-A6A6-CCECF80E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246" name="Picture 245" descr="http://www.abs.gov.au/icons/ecblank.gif">
          <a:extLst>
            <a:ext uri="{FF2B5EF4-FFF2-40B4-BE49-F238E27FC236}">
              <a16:creationId xmlns:a16="http://schemas.microsoft.com/office/drawing/2014/main" id="{DEBBE296-616C-4F84-86F8-8117C9DF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247" name="Picture 246" descr="http://www.abs.gov.au/icons/ecblank.gif">
          <a:extLst>
            <a:ext uri="{FF2B5EF4-FFF2-40B4-BE49-F238E27FC236}">
              <a16:creationId xmlns:a16="http://schemas.microsoft.com/office/drawing/2014/main" id="{0C0E138A-4420-451F-91D3-DD57AC76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248" name="Picture 247" descr="http://www.abs.gov.au/icons/ecblank.gif">
          <a:extLst>
            <a:ext uri="{FF2B5EF4-FFF2-40B4-BE49-F238E27FC236}">
              <a16:creationId xmlns:a16="http://schemas.microsoft.com/office/drawing/2014/main" id="{53CBB89A-047C-4D65-A07C-AFAB0D14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249" name="Picture 248" descr="http://www.abs.gov.au/icons/ecblank.gif">
          <a:extLst>
            <a:ext uri="{FF2B5EF4-FFF2-40B4-BE49-F238E27FC236}">
              <a16:creationId xmlns:a16="http://schemas.microsoft.com/office/drawing/2014/main" id="{6541563E-F452-4D17-827F-C53CC168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250" name="Picture 249" descr="http://www.abs.gov.au/icons/ecblank.gif">
          <a:extLst>
            <a:ext uri="{FF2B5EF4-FFF2-40B4-BE49-F238E27FC236}">
              <a16:creationId xmlns:a16="http://schemas.microsoft.com/office/drawing/2014/main" id="{ACF16ECC-C54B-40FE-8EF3-14BA9659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251" name="Picture 250" descr="http://www.abs.gov.au/icons/ecblank.gif">
          <a:extLst>
            <a:ext uri="{FF2B5EF4-FFF2-40B4-BE49-F238E27FC236}">
              <a16:creationId xmlns:a16="http://schemas.microsoft.com/office/drawing/2014/main" id="{AFA71F0E-D2D9-47A2-8D37-D91FA550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252" name="Picture 251" descr="http://www.abs.gov.au/icons/ecblank.gif">
          <a:extLst>
            <a:ext uri="{FF2B5EF4-FFF2-40B4-BE49-F238E27FC236}">
              <a16:creationId xmlns:a16="http://schemas.microsoft.com/office/drawing/2014/main" id="{E52251D5-B20B-4BA3-A02B-F6C73A46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253" name="Picture 252" descr="http://www.abs.gov.au/icons/ecblank.gif">
          <a:extLst>
            <a:ext uri="{FF2B5EF4-FFF2-40B4-BE49-F238E27FC236}">
              <a16:creationId xmlns:a16="http://schemas.microsoft.com/office/drawing/2014/main" id="{1AB7B956-1B0A-4681-87AF-D78EEABB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254" name="Picture 253" descr="http://www.abs.gov.au/icons/ecblank.gif">
          <a:extLst>
            <a:ext uri="{FF2B5EF4-FFF2-40B4-BE49-F238E27FC236}">
              <a16:creationId xmlns:a16="http://schemas.microsoft.com/office/drawing/2014/main" id="{276EC9F0-59EE-4D11-AA98-AFC96ABF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255" name="Picture 108" descr="http://www.abs.gov.au/icons/ecblank.gif">
          <a:extLst>
            <a:ext uri="{FF2B5EF4-FFF2-40B4-BE49-F238E27FC236}">
              <a16:creationId xmlns:a16="http://schemas.microsoft.com/office/drawing/2014/main" id="{BD2A34C6-1932-40D7-9AB2-5E257CAD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256" name="Picture 109" descr="http://www.abs.gov.au/icons/ecblank.gif">
          <a:extLst>
            <a:ext uri="{FF2B5EF4-FFF2-40B4-BE49-F238E27FC236}">
              <a16:creationId xmlns:a16="http://schemas.microsoft.com/office/drawing/2014/main" id="{A9C29788-A629-4DA2-8AB3-4300F6D3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257" name="Picture 110" descr="http://www.abs.gov.au/icons/ecblank.gif">
          <a:extLst>
            <a:ext uri="{FF2B5EF4-FFF2-40B4-BE49-F238E27FC236}">
              <a16:creationId xmlns:a16="http://schemas.microsoft.com/office/drawing/2014/main" id="{99124D8E-D233-4D13-80A8-4C706AC0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258" name="Picture 111" descr="http://www.abs.gov.au/icons/ecblank.gif">
          <a:extLst>
            <a:ext uri="{FF2B5EF4-FFF2-40B4-BE49-F238E27FC236}">
              <a16:creationId xmlns:a16="http://schemas.microsoft.com/office/drawing/2014/main" id="{ACFCF496-0DBC-4EB4-B4FE-4FEF7F08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259" name="Picture 258" descr="http://www.abs.gov.au/icons/ecblank.gif">
          <a:extLst>
            <a:ext uri="{FF2B5EF4-FFF2-40B4-BE49-F238E27FC236}">
              <a16:creationId xmlns:a16="http://schemas.microsoft.com/office/drawing/2014/main" id="{2A8AD6B1-3D17-4257-B776-F9ED79B7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260" name="Picture 259" descr="http://www.abs.gov.au/icons/ecblank.gif">
          <a:extLst>
            <a:ext uri="{FF2B5EF4-FFF2-40B4-BE49-F238E27FC236}">
              <a16:creationId xmlns:a16="http://schemas.microsoft.com/office/drawing/2014/main" id="{8278A7CE-CE30-4F0F-9B83-7A8E8B97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261" name="Picture 260" descr="http://www.abs.gov.au/icons/ecblank.gif">
          <a:extLst>
            <a:ext uri="{FF2B5EF4-FFF2-40B4-BE49-F238E27FC236}">
              <a16:creationId xmlns:a16="http://schemas.microsoft.com/office/drawing/2014/main" id="{067BAD08-17B6-4459-BE8A-4ED72CA7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262" name="Picture 261" descr="http://www.abs.gov.au/icons/ecblank.gif">
          <a:extLst>
            <a:ext uri="{FF2B5EF4-FFF2-40B4-BE49-F238E27FC236}">
              <a16:creationId xmlns:a16="http://schemas.microsoft.com/office/drawing/2014/main" id="{26A0B2DF-BAC1-49B5-87AC-07649BDE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263" name="Picture 262" descr="http://www.abs.gov.au/icons/ecblank.gif">
          <a:extLst>
            <a:ext uri="{FF2B5EF4-FFF2-40B4-BE49-F238E27FC236}">
              <a16:creationId xmlns:a16="http://schemas.microsoft.com/office/drawing/2014/main" id="{A06E0D53-42A9-4B9F-BB94-62A7DA72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264" name="Picture 263" descr="http://www.abs.gov.au/icons/ecblank.gif">
          <a:extLst>
            <a:ext uri="{FF2B5EF4-FFF2-40B4-BE49-F238E27FC236}">
              <a16:creationId xmlns:a16="http://schemas.microsoft.com/office/drawing/2014/main" id="{77DCFB39-08DC-4F7D-A890-3DDD7A3D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265" name="Picture 264" descr="http://www.abs.gov.au/icons/ecblank.gif">
          <a:extLst>
            <a:ext uri="{FF2B5EF4-FFF2-40B4-BE49-F238E27FC236}">
              <a16:creationId xmlns:a16="http://schemas.microsoft.com/office/drawing/2014/main" id="{61419FB7-9D7C-473D-8A87-E8692A69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266" name="Picture 265" descr="http://www.abs.gov.au/icons/ecblank.gif">
          <a:extLst>
            <a:ext uri="{FF2B5EF4-FFF2-40B4-BE49-F238E27FC236}">
              <a16:creationId xmlns:a16="http://schemas.microsoft.com/office/drawing/2014/main" id="{3B680FFC-723C-4FE2-A148-9377C90F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267" name="Picture 266" descr="http://www.abs.gov.au/icons/ecblank.gif">
          <a:extLst>
            <a:ext uri="{FF2B5EF4-FFF2-40B4-BE49-F238E27FC236}">
              <a16:creationId xmlns:a16="http://schemas.microsoft.com/office/drawing/2014/main" id="{39944C08-DF4D-4B57-B18A-7565ABBB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268" name="Picture 267" descr="http://www.abs.gov.au/icons/ecblank.gif">
          <a:extLst>
            <a:ext uri="{FF2B5EF4-FFF2-40B4-BE49-F238E27FC236}">
              <a16:creationId xmlns:a16="http://schemas.microsoft.com/office/drawing/2014/main" id="{A5846371-20C6-4149-9D7D-AD42A488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269" name="Picture 268" descr="http://www.abs.gov.au/icons/ecblank.gif">
          <a:extLst>
            <a:ext uri="{FF2B5EF4-FFF2-40B4-BE49-F238E27FC236}">
              <a16:creationId xmlns:a16="http://schemas.microsoft.com/office/drawing/2014/main" id="{97CFA5CA-0CFF-4053-B58D-86E0D3A8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270" name="Picture 269" descr="http://www.abs.gov.au/icons/ecblank.gif">
          <a:extLst>
            <a:ext uri="{FF2B5EF4-FFF2-40B4-BE49-F238E27FC236}">
              <a16:creationId xmlns:a16="http://schemas.microsoft.com/office/drawing/2014/main" id="{DA208A5E-F912-487A-A7E3-79F4627B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29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271" name="Picture 108" descr="http://www.abs.gov.au/icons/ecblank.gif">
          <a:extLst>
            <a:ext uri="{FF2B5EF4-FFF2-40B4-BE49-F238E27FC236}">
              <a16:creationId xmlns:a16="http://schemas.microsoft.com/office/drawing/2014/main" id="{D884FE54-64BC-4196-ACAD-35AAC1D1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272" name="Picture 109" descr="http://www.abs.gov.au/icons/ecblank.gif">
          <a:extLst>
            <a:ext uri="{FF2B5EF4-FFF2-40B4-BE49-F238E27FC236}">
              <a16:creationId xmlns:a16="http://schemas.microsoft.com/office/drawing/2014/main" id="{05CD1199-254B-462C-822C-B21F2AC1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273" name="Picture 110" descr="http://www.abs.gov.au/icons/ecblank.gif">
          <a:extLst>
            <a:ext uri="{FF2B5EF4-FFF2-40B4-BE49-F238E27FC236}">
              <a16:creationId xmlns:a16="http://schemas.microsoft.com/office/drawing/2014/main" id="{B3494285-B682-49D1-959F-CC5236A6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274" name="Picture 111" descr="http://www.abs.gov.au/icons/ecblank.gif">
          <a:extLst>
            <a:ext uri="{FF2B5EF4-FFF2-40B4-BE49-F238E27FC236}">
              <a16:creationId xmlns:a16="http://schemas.microsoft.com/office/drawing/2014/main" id="{48638125-4AAD-4A3A-B681-64FB6DD8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386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275" name="Picture 274" descr="http://www.abs.gov.au/icons/ecblank.gif">
          <a:extLst>
            <a:ext uri="{FF2B5EF4-FFF2-40B4-BE49-F238E27FC236}">
              <a16:creationId xmlns:a16="http://schemas.microsoft.com/office/drawing/2014/main" id="{7B9429FB-A11F-4C2F-A44A-92DA2B01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276" name="Picture 275" descr="http://www.abs.gov.au/icons/ecblank.gif">
          <a:extLst>
            <a:ext uri="{FF2B5EF4-FFF2-40B4-BE49-F238E27FC236}">
              <a16:creationId xmlns:a16="http://schemas.microsoft.com/office/drawing/2014/main" id="{4BA1ABE1-0B23-43DB-9BAA-CE599EF3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277" name="Picture 276" descr="http://www.abs.gov.au/icons/ecblank.gif">
          <a:extLst>
            <a:ext uri="{FF2B5EF4-FFF2-40B4-BE49-F238E27FC236}">
              <a16:creationId xmlns:a16="http://schemas.microsoft.com/office/drawing/2014/main" id="{FB242C11-A9B0-4D69-889C-79F12BBD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278" name="Picture 277" descr="http://www.abs.gov.au/icons/ecblank.gif">
          <a:extLst>
            <a:ext uri="{FF2B5EF4-FFF2-40B4-BE49-F238E27FC236}">
              <a16:creationId xmlns:a16="http://schemas.microsoft.com/office/drawing/2014/main" id="{839CDFE8-0F92-44DB-9768-74EB67C0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279" name="Picture 278" descr="http://www.abs.gov.au/icons/ecblank.gif">
          <a:extLst>
            <a:ext uri="{FF2B5EF4-FFF2-40B4-BE49-F238E27FC236}">
              <a16:creationId xmlns:a16="http://schemas.microsoft.com/office/drawing/2014/main" id="{7EF0F09C-78F3-4D53-8A8E-30EC2775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280" name="Picture 279" descr="http://www.abs.gov.au/icons/ecblank.gif">
          <a:extLst>
            <a:ext uri="{FF2B5EF4-FFF2-40B4-BE49-F238E27FC236}">
              <a16:creationId xmlns:a16="http://schemas.microsoft.com/office/drawing/2014/main" id="{259A3076-0A19-4766-937B-69C1C8F8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281" name="Picture 280" descr="http://www.abs.gov.au/icons/ecblank.gif">
          <a:extLst>
            <a:ext uri="{FF2B5EF4-FFF2-40B4-BE49-F238E27FC236}">
              <a16:creationId xmlns:a16="http://schemas.microsoft.com/office/drawing/2014/main" id="{645BA480-EC96-4C3E-927A-0879722B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282" name="Picture 281" descr="http://www.abs.gov.au/icons/ecblank.gif">
          <a:extLst>
            <a:ext uri="{FF2B5EF4-FFF2-40B4-BE49-F238E27FC236}">
              <a16:creationId xmlns:a16="http://schemas.microsoft.com/office/drawing/2014/main" id="{C3C9D5D5-4D02-4F53-BB00-D8A20502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7246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283" name="Picture 282" descr="http://www.abs.gov.au/icons/ecblank.gif">
          <a:extLst>
            <a:ext uri="{FF2B5EF4-FFF2-40B4-BE49-F238E27FC236}">
              <a16:creationId xmlns:a16="http://schemas.microsoft.com/office/drawing/2014/main" id="{39982B0F-535E-45ED-B354-57C039BC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48150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284" name="Picture 283" descr="http://www.abs.gov.au/icons/ecblank.gif">
          <a:extLst>
            <a:ext uri="{FF2B5EF4-FFF2-40B4-BE49-F238E27FC236}">
              <a16:creationId xmlns:a16="http://schemas.microsoft.com/office/drawing/2014/main" id="{1274DF5D-5F09-4B46-B1CF-260CC057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48150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285" name="Picture 284" descr="http://www.abs.gov.au/icons/ecblank.gif">
          <a:extLst>
            <a:ext uri="{FF2B5EF4-FFF2-40B4-BE49-F238E27FC236}">
              <a16:creationId xmlns:a16="http://schemas.microsoft.com/office/drawing/2014/main" id="{F77E3B6C-F0D9-4D4F-8DCA-88B94AB2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48150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286" name="Picture 285" descr="http://www.abs.gov.au/icons/ecblank.gif">
          <a:extLst>
            <a:ext uri="{FF2B5EF4-FFF2-40B4-BE49-F238E27FC236}">
              <a16:creationId xmlns:a16="http://schemas.microsoft.com/office/drawing/2014/main" id="{822AB7D3-9A38-4412-BBDE-6EB71146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48150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287" name="Picture 286" descr="http://www.abs.gov.au/icons/ecblank.gif">
          <a:extLst>
            <a:ext uri="{FF2B5EF4-FFF2-40B4-BE49-F238E27FC236}">
              <a16:creationId xmlns:a16="http://schemas.microsoft.com/office/drawing/2014/main" id="{7EE3BA15-279B-45BD-BFD5-24A0C824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48150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9525</xdr:colOff>
      <xdr:row>80</xdr:row>
      <xdr:rowOff>9525</xdr:rowOff>
    </xdr:to>
    <xdr:pic>
      <xdr:nvPicPr>
        <xdr:cNvPr id="288" name="Picture 287" descr="http://www.abs.gov.au/icons/ecblank.gif">
          <a:extLst>
            <a:ext uri="{FF2B5EF4-FFF2-40B4-BE49-F238E27FC236}">
              <a16:creationId xmlns:a16="http://schemas.microsoft.com/office/drawing/2014/main" id="{B67FCFF5-3FDD-4263-A330-F5FDA160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01275" y="1603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9525</xdr:colOff>
      <xdr:row>80</xdr:row>
      <xdr:rowOff>9525</xdr:rowOff>
    </xdr:to>
    <xdr:pic>
      <xdr:nvPicPr>
        <xdr:cNvPr id="289" name="Picture 288" descr="http://www.abs.gov.au/icons/ecblank.gif">
          <a:extLst>
            <a:ext uri="{FF2B5EF4-FFF2-40B4-BE49-F238E27FC236}">
              <a16:creationId xmlns:a16="http://schemas.microsoft.com/office/drawing/2014/main" id="{068CDEA6-06CA-4C51-ACB7-8E86E19F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01275" y="1603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9525</xdr:colOff>
      <xdr:row>96</xdr:row>
      <xdr:rowOff>9525</xdr:rowOff>
    </xdr:to>
    <xdr:pic>
      <xdr:nvPicPr>
        <xdr:cNvPr id="290" name="Picture 289" descr="http://www.abs.gov.au/icons/ecblank.gif">
          <a:extLst>
            <a:ext uri="{FF2B5EF4-FFF2-40B4-BE49-F238E27FC236}">
              <a16:creationId xmlns:a16="http://schemas.microsoft.com/office/drawing/2014/main" id="{CE221FC6-4229-423F-8ECC-F22FF306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01275" y="1907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9525</xdr:colOff>
      <xdr:row>96</xdr:row>
      <xdr:rowOff>9525</xdr:rowOff>
    </xdr:to>
    <xdr:pic>
      <xdr:nvPicPr>
        <xdr:cNvPr id="291" name="Picture 290" descr="http://www.abs.gov.au/icons/ecblank.gif">
          <a:extLst>
            <a:ext uri="{FF2B5EF4-FFF2-40B4-BE49-F238E27FC236}">
              <a16:creationId xmlns:a16="http://schemas.microsoft.com/office/drawing/2014/main" id="{9D10F5E7-2F8C-457A-BEE2-0972C7E0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01275" y="1907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292" name="Picture 291" descr="http://www.abs.gov.au/icons/ecblank.gif">
          <a:extLst>
            <a:ext uri="{FF2B5EF4-FFF2-40B4-BE49-F238E27FC236}">
              <a16:creationId xmlns:a16="http://schemas.microsoft.com/office/drawing/2014/main" id="{1D29F354-F24E-487E-A430-7AEC56B9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293" name="Picture 292" descr="http://www.abs.gov.au/icons/ecblank.gif">
          <a:extLst>
            <a:ext uri="{FF2B5EF4-FFF2-40B4-BE49-F238E27FC236}">
              <a16:creationId xmlns:a16="http://schemas.microsoft.com/office/drawing/2014/main" id="{F4741566-ABA3-436F-9975-15C22600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294" name="Picture 293" descr="http://www.abs.gov.au/icons/ecblank.gif">
          <a:extLst>
            <a:ext uri="{FF2B5EF4-FFF2-40B4-BE49-F238E27FC236}">
              <a16:creationId xmlns:a16="http://schemas.microsoft.com/office/drawing/2014/main" id="{7E95841D-0510-4B7B-B1AD-AD0BB05B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295" name="Picture 294" descr="http://www.abs.gov.au/icons/ecblank.gif">
          <a:extLst>
            <a:ext uri="{FF2B5EF4-FFF2-40B4-BE49-F238E27FC236}">
              <a16:creationId xmlns:a16="http://schemas.microsoft.com/office/drawing/2014/main" id="{37A7206E-BF1E-4A3B-A38B-31D457BD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296" name="Picture 295" descr="http://www.abs.gov.au/icons/ecblank.gif">
          <a:extLst>
            <a:ext uri="{FF2B5EF4-FFF2-40B4-BE49-F238E27FC236}">
              <a16:creationId xmlns:a16="http://schemas.microsoft.com/office/drawing/2014/main" id="{14799131-585B-403A-AF88-AAC4D59E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297" name="Picture 296" descr="http://www.abs.gov.au/icons/ecblank.gif">
          <a:extLst>
            <a:ext uri="{FF2B5EF4-FFF2-40B4-BE49-F238E27FC236}">
              <a16:creationId xmlns:a16="http://schemas.microsoft.com/office/drawing/2014/main" id="{3B5CD730-331E-46AE-8029-AC7AA7A2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298" name="Picture 297" descr="http://www.abs.gov.au/icons/ecblank.gif">
          <a:extLst>
            <a:ext uri="{FF2B5EF4-FFF2-40B4-BE49-F238E27FC236}">
              <a16:creationId xmlns:a16="http://schemas.microsoft.com/office/drawing/2014/main" id="{461A6ECC-D183-43AB-AB38-4771052C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299" name="Picture 298" descr="http://www.abs.gov.au/icons/ecblank.gif">
          <a:extLst>
            <a:ext uri="{FF2B5EF4-FFF2-40B4-BE49-F238E27FC236}">
              <a16:creationId xmlns:a16="http://schemas.microsoft.com/office/drawing/2014/main" id="{7F379BFE-C656-4683-A314-23AB0B4B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300" name="Picture 299" descr="http://www.abs.gov.au/icons/ecblank.gif">
          <a:extLst>
            <a:ext uri="{FF2B5EF4-FFF2-40B4-BE49-F238E27FC236}">
              <a16:creationId xmlns:a16="http://schemas.microsoft.com/office/drawing/2014/main" id="{B51826DB-DB03-4FCD-8BD1-FBF8FA25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301" name="Picture 300" descr="http://www.abs.gov.au/icons/ecblank.gif">
          <a:extLst>
            <a:ext uri="{FF2B5EF4-FFF2-40B4-BE49-F238E27FC236}">
              <a16:creationId xmlns:a16="http://schemas.microsoft.com/office/drawing/2014/main" id="{603CC885-6A99-4F35-9FD5-D143C9D7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302" name="Picture 301" descr="http://www.abs.gov.au/icons/ecblank.gif">
          <a:extLst>
            <a:ext uri="{FF2B5EF4-FFF2-40B4-BE49-F238E27FC236}">
              <a16:creationId xmlns:a16="http://schemas.microsoft.com/office/drawing/2014/main" id="{E01FE182-5D1B-4C89-8D3B-7F70BC96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303" name="Picture 302" descr="http://www.abs.gov.au/icons/ecblank.gif">
          <a:extLst>
            <a:ext uri="{FF2B5EF4-FFF2-40B4-BE49-F238E27FC236}">
              <a16:creationId xmlns:a16="http://schemas.microsoft.com/office/drawing/2014/main" id="{F2DFE9FE-7467-46EA-A8B0-B146CCE2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304" name="Picture 303" descr="http://www.abs.gov.au/icons/ecblank.gif">
          <a:extLst>
            <a:ext uri="{FF2B5EF4-FFF2-40B4-BE49-F238E27FC236}">
              <a16:creationId xmlns:a16="http://schemas.microsoft.com/office/drawing/2014/main" id="{CE5D5A80-D107-4B12-9A7D-400E2AB6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305" name="Picture 304" descr="http://www.abs.gov.au/icons/ecblank.gif">
          <a:extLst>
            <a:ext uri="{FF2B5EF4-FFF2-40B4-BE49-F238E27FC236}">
              <a16:creationId xmlns:a16="http://schemas.microsoft.com/office/drawing/2014/main" id="{5D504B34-ECE1-4032-B7C4-F5B7DC84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306" name="Picture 305" descr="http://www.abs.gov.au/icons/ecblank.gif">
          <a:extLst>
            <a:ext uri="{FF2B5EF4-FFF2-40B4-BE49-F238E27FC236}">
              <a16:creationId xmlns:a16="http://schemas.microsoft.com/office/drawing/2014/main" id="{BB2A456E-01C4-415C-821D-ABD53D76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307" name="Picture 306" descr="http://www.abs.gov.au/icons/ecblank.gif">
          <a:extLst>
            <a:ext uri="{FF2B5EF4-FFF2-40B4-BE49-F238E27FC236}">
              <a16:creationId xmlns:a16="http://schemas.microsoft.com/office/drawing/2014/main" id="{0BE6183D-3BD8-40B0-85CA-77142CD1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308" name="Picture 307" descr="http://www.abs.gov.au/icons/ecblank.gif">
          <a:extLst>
            <a:ext uri="{FF2B5EF4-FFF2-40B4-BE49-F238E27FC236}">
              <a16:creationId xmlns:a16="http://schemas.microsoft.com/office/drawing/2014/main" id="{D9AB2376-5F3C-4E2D-BEC1-BF951046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309" name="Picture 308" descr="http://www.abs.gov.au/icons/ecblank.gif">
          <a:extLst>
            <a:ext uri="{FF2B5EF4-FFF2-40B4-BE49-F238E27FC236}">
              <a16:creationId xmlns:a16="http://schemas.microsoft.com/office/drawing/2014/main" id="{62602DDE-6AB1-4867-9723-D5A904F0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310" name="Picture 309" descr="http://www.abs.gov.au/icons/ecblank.gif">
          <a:extLst>
            <a:ext uri="{FF2B5EF4-FFF2-40B4-BE49-F238E27FC236}">
              <a16:creationId xmlns:a16="http://schemas.microsoft.com/office/drawing/2014/main" id="{4E8B1DA2-18E1-404A-9778-A9E65965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311" name="Picture 310" descr="http://www.abs.gov.au/icons/ecblank.gif">
          <a:extLst>
            <a:ext uri="{FF2B5EF4-FFF2-40B4-BE49-F238E27FC236}">
              <a16:creationId xmlns:a16="http://schemas.microsoft.com/office/drawing/2014/main" id="{94DA5EFA-633F-4DE4-BE0F-A4017DA6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312" name="Picture 311" descr="http://www.abs.gov.au/icons/ecblank.gif">
          <a:extLst>
            <a:ext uri="{FF2B5EF4-FFF2-40B4-BE49-F238E27FC236}">
              <a16:creationId xmlns:a16="http://schemas.microsoft.com/office/drawing/2014/main" id="{57E6B05D-8806-40A2-B133-CD346B29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313" name="Picture 312" descr="http://www.abs.gov.au/icons/ecblank.gif">
          <a:extLst>
            <a:ext uri="{FF2B5EF4-FFF2-40B4-BE49-F238E27FC236}">
              <a16:creationId xmlns:a16="http://schemas.microsoft.com/office/drawing/2014/main" id="{A6F639C8-994C-4266-8AA0-3091DD06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314" name="Picture 313" descr="http://www.abs.gov.au/icons/ecblank.gif">
          <a:extLst>
            <a:ext uri="{FF2B5EF4-FFF2-40B4-BE49-F238E27FC236}">
              <a16:creationId xmlns:a16="http://schemas.microsoft.com/office/drawing/2014/main" id="{F01246D2-CB48-4270-AF83-EACF136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315" name="Picture 314" descr="http://www.abs.gov.au/icons/ecblank.gif">
          <a:extLst>
            <a:ext uri="{FF2B5EF4-FFF2-40B4-BE49-F238E27FC236}">
              <a16:creationId xmlns:a16="http://schemas.microsoft.com/office/drawing/2014/main" id="{3A8DFFBD-0B7B-4DE8-A415-4F8F46C3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316" name="Picture 108" descr="http://www.abs.gov.au/icons/ecblank.gif">
          <a:extLst>
            <a:ext uri="{FF2B5EF4-FFF2-40B4-BE49-F238E27FC236}">
              <a16:creationId xmlns:a16="http://schemas.microsoft.com/office/drawing/2014/main" id="{4FF61A08-C1CF-47AD-ABAD-E8196CDB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317" name="Picture 109" descr="http://www.abs.gov.au/icons/ecblank.gif">
          <a:extLst>
            <a:ext uri="{FF2B5EF4-FFF2-40B4-BE49-F238E27FC236}">
              <a16:creationId xmlns:a16="http://schemas.microsoft.com/office/drawing/2014/main" id="{E57FB058-3B9B-4661-9971-0D49C68E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318" name="Picture 110" descr="http://www.abs.gov.au/icons/ecblank.gif">
          <a:extLst>
            <a:ext uri="{FF2B5EF4-FFF2-40B4-BE49-F238E27FC236}">
              <a16:creationId xmlns:a16="http://schemas.microsoft.com/office/drawing/2014/main" id="{9D4BC7A9-2C7B-40E3-83B5-2E13B43C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319" name="Picture 111" descr="http://www.abs.gov.au/icons/ecblank.gif">
          <a:extLst>
            <a:ext uri="{FF2B5EF4-FFF2-40B4-BE49-F238E27FC236}">
              <a16:creationId xmlns:a16="http://schemas.microsoft.com/office/drawing/2014/main" id="{E5C11D11-7593-42CC-9B14-00A63163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320" name="Picture 319" descr="http://www.abs.gov.au/icons/ecblank.gif">
          <a:extLst>
            <a:ext uri="{FF2B5EF4-FFF2-40B4-BE49-F238E27FC236}">
              <a16:creationId xmlns:a16="http://schemas.microsoft.com/office/drawing/2014/main" id="{7D976E88-1D2D-4FB6-A5A9-5220A471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321" name="Picture 320" descr="http://www.abs.gov.au/icons/ecblank.gif">
          <a:extLst>
            <a:ext uri="{FF2B5EF4-FFF2-40B4-BE49-F238E27FC236}">
              <a16:creationId xmlns:a16="http://schemas.microsoft.com/office/drawing/2014/main" id="{69C55D86-1669-4DAE-97C5-65A68649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322" name="Picture 321" descr="http://www.abs.gov.au/icons/ecblank.gif">
          <a:extLst>
            <a:ext uri="{FF2B5EF4-FFF2-40B4-BE49-F238E27FC236}">
              <a16:creationId xmlns:a16="http://schemas.microsoft.com/office/drawing/2014/main" id="{9E2AF87C-2992-4E1D-B3F5-B3A9BCF7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323" name="Picture 322" descr="http://www.abs.gov.au/icons/ecblank.gif">
          <a:extLst>
            <a:ext uri="{FF2B5EF4-FFF2-40B4-BE49-F238E27FC236}">
              <a16:creationId xmlns:a16="http://schemas.microsoft.com/office/drawing/2014/main" id="{A3AC1FDD-7C9A-4C77-9C6F-13C38B01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324" name="Picture 323" descr="http://www.abs.gov.au/icons/ecblank.gif">
          <a:extLst>
            <a:ext uri="{FF2B5EF4-FFF2-40B4-BE49-F238E27FC236}">
              <a16:creationId xmlns:a16="http://schemas.microsoft.com/office/drawing/2014/main" id="{89B49240-8DEF-43A0-8B87-3D118F82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325" name="Picture 324" descr="http://www.abs.gov.au/icons/ecblank.gif">
          <a:extLst>
            <a:ext uri="{FF2B5EF4-FFF2-40B4-BE49-F238E27FC236}">
              <a16:creationId xmlns:a16="http://schemas.microsoft.com/office/drawing/2014/main" id="{30D0A1EB-CC1C-4D78-B4AE-F985EB08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326" name="Picture 325" descr="http://www.abs.gov.au/icons/ecblank.gif">
          <a:extLst>
            <a:ext uri="{FF2B5EF4-FFF2-40B4-BE49-F238E27FC236}">
              <a16:creationId xmlns:a16="http://schemas.microsoft.com/office/drawing/2014/main" id="{B89D1828-E902-4164-BBA8-FC96365F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327" name="Picture 326" descr="http://www.abs.gov.au/icons/ecblank.gif">
          <a:extLst>
            <a:ext uri="{FF2B5EF4-FFF2-40B4-BE49-F238E27FC236}">
              <a16:creationId xmlns:a16="http://schemas.microsoft.com/office/drawing/2014/main" id="{3C15D33A-9169-4E01-97AB-EE16035A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328" name="Picture 108" descr="http://www.abs.gov.au/icons/ecblank.gif">
          <a:extLst>
            <a:ext uri="{FF2B5EF4-FFF2-40B4-BE49-F238E27FC236}">
              <a16:creationId xmlns:a16="http://schemas.microsoft.com/office/drawing/2014/main" id="{7CA41EC4-CB25-4995-A544-8C8F306A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329" name="Picture 109" descr="http://www.abs.gov.au/icons/ecblank.gif">
          <a:extLst>
            <a:ext uri="{FF2B5EF4-FFF2-40B4-BE49-F238E27FC236}">
              <a16:creationId xmlns:a16="http://schemas.microsoft.com/office/drawing/2014/main" id="{8AD6DF34-824A-4A99-898D-C0287766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330" name="Picture 110" descr="http://www.abs.gov.au/icons/ecblank.gif">
          <a:extLst>
            <a:ext uri="{FF2B5EF4-FFF2-40B4-BE49-F238E27FC236}">
              <a16:creationId xmlns:a16="http://schemas.microsoft.com/office/drawing/2014/main" id="{FD67AD08-109B-4D13-8B99-9EB7A8AA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331" name="Picture 111" descr="http://www.abs.gov.au/icons/ecblank.gif">
          <a:extLst>
            <a:ext uri="{FF2B5EF4-FFF2-40B4-BE49-F238E27FC236}">
              <a16:creationId xmlns:a16="http://schemas.microsoft.com/office/drawing/2014/main" id="{2A3526F7-E6B7-4053-A982-39642A1F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332" name="Picture 331" descr="http://www.abs.gov.au/icons/ecblank.gif">
          <a:extLst>
            <a:ext uri="{FF2B5EF4-FFF2-40B4-BE49-F238E27FC236}">
              <a16:creationId xmlns:a16="http://schemas.microsoft.com/office/drawing/2014/main" id="{7458AED7-9F2D-429A-9875-53638F4D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333" name="Picture 332" descr="http://www.abs.gov.au/icons/ecblank.gif">
          <a:extLst>
            <a:ext uri="{FF2B5EF4-FFF2-40B4-BE49-F238E27FC236}">
              <a16:creationId xmlns:a16="http://schemas.microsoft.com/office/drawing/2014/main" id="{B1E9FAE8-49A9-44F1-B54E-FF433ED5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334" name="Picture 333" descr="http://www.abs.gov.au/icons/ecblank.gif">
          <a:extLst>
            <a:ext uri="{FF2B5EF4-FFF2-40B4-BE49-F238E27FC236}">
              <a16:creationId xmlns:a16="http://schemas.microsoft.com/office/drawing/2014/main" id="{6771D836-2904-464E-95C0-F6E532FD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335" name="Picture 334" descr="http://www.abs.gov.au/icons/ecblank.gif">
          <a:extLst>
            <a:ext uri="{FF2B5EF4-FFF2-40B4-BE49-F238E27FC236}">
              <a16:creationId xmlns:a16="http://schemas.microsoft.com/office/drawing/2014/main" id="{278533AA-E1CA-43E7-8C35-6F8DAF4F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336" name="Picture 335" descr="http://www.abs.gov.au/icons/ecblank.gif">
          <a:extLst>
            <a:ext uri="{FF2B5EF4-FFF2-40B4-BE49-F238E27FC236}">
              <a16:creationId xmlns:a16="http://schemas.microsoft.com/office/drawing/2014/main" id="{CD423AAB-C90D-4A43-B13E-F4A72F12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337" name="Picture 336" descr="http://www.abs.gov.au/icons/ecblank.gif">
          <a:extLst>
            <a:ext uri="{FF2B5EF4-FFF2-40B4-BE49-F238E27FC236}">
              <a16:creationId xmlns:a16="http://schemas.microsoft.com/office/drawing/2014/main" id="{DBD8B466-C66C-4931-8FAF-B7C5478C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338" name="Picture 337" descr="http://www.abs.gov.au/icons/ecblank.gif">
          <a:extLst>
            <a:ext uri="{FF2B5EF4-FFF2-40B4-BE49-F238E27FC236}">
              <a16:creationId xmlns:a16="http://schemas.microsoft.com/office/drawing/2014/main" id="{133B4F93-D018-4259-8B22-E1050CA3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339" name="Picture 338" descr="http://www.abs.gov.au/icons/ecblank.gif">
          <a:extLst>
            <a:ext uri="{FF2B5EF4-FFF2-40B4-BE49-F238E27FC236}">
              <a16:creationId xmlns:a16="http://schemas.microsoft.com/office/drawing/2014/main" id="{7F34CBE4-36E0-4E41-890A-39C281D3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340" name="Picture 339" descr="http://www.abs.gov.au/icons/ecblank.gif">
          <a:extLst>
            <a:ext uri="{FF2B5EF4-FFF2-40B4-BE49-F238E27FC236}">
              <a16:creationId xmlns:a16="http://schemas.microsoft.com/office/drawing/2014/main" id="{34B799AF-3D9A-4A78-AAC0-D63D04F6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43890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341" name="Picture 340" descr="http://www.abs.gov.au/icons/ecblank.gif">
          <a:extLst>
            <a:ext uri="{FF2B5EF4-FFF2-40B4-BE49-F238E27FC236}">
              <a16:creationId xmlns:a16="http://schemas.microsoft.com/office/drawing/2014/main" id="{9377C025-97BB-44A4-8D6A-8CE41269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43890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342" name="Picture 341" descr="http://www.abs.gov.au/icons/ecblank.gif">
          <a:extLst>
            <a:ext uri="{FF2B5EF4-FFF2-40B4-BE49-F238E27FC236}">
              <a16:creationId xmlns:a16="http://schemas.microsoft.com/office/drawing/2014/main" id="{C62F3B7B-1D23-4E39-A83D-AA05CDC7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43890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343" name="Picture 342" descr="http://www.abs.gov.au/icons/ecblank.gif">
          <a:extLst>
            <a:ext uri="{FF2B5EF4-FFF2-40B4-BE49-F238E27FC236}">
              <a16:creationId xmlns:a16="http://schemas.microsoft.com/office/drawing/2014/main" id="{B4AD6DB5-0031-4774-9363-68FB2201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43890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344" name="Picture 108" descr="http://www.abs.gov.au/icons/ecblank.gif">
          <a:extLst>
            <a:ext uri="{FF2B5EF4-FFF2-40B4-BE49-F238E27FC236}">
              <a16:creationId xmlns:a16="http://schemas.microsoft.com/office/drawing/2014/main" id="{8AC12E56-7578-4C2C-A774-5B713AA6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345" name="Picture 109" descr="http://www.abs.gov.au/icons/ecblank.gif">
          <a:extLst>
            <a:ext uri="{FF2B5EF4-FFF2-40B4-BE49-F238E27FC236}">
              <a16:creationId xmlns:a16="http://schemas.microsoft.com/office/drawing/2014/main" id="{745DAA09-62F3-44F8-ADE5-04B3837B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346" name="Picture 110" descr="http://www.abs.gov.au/icons/ecblank.gif">
          <a:extLst>
            <a:ext uri="{FF2B5EF4-FFF2-40B4-BE49-F238E27FC236}">
              <a16:creationId xmlns:a16="http://schemas.microsoft.com/office/drawing/2014/main" id="{9BBF387A-FA98-4854-BC2C-89BE7588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347" name="Picture 111" descr="http://www.abs.gov.au/icons/ecblank.gif">
          <a:extLst>
            <a:ext uri="{FF2B5EF4-FFF2-40B4-BE49-F238E27FC236}">
              <a16:creationId xmlns:a16="http://schemas.microsoft.com/office/drawing/2014/main" id="{D740742E-24DA-44DB-B171-23BE0775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48" name="Picture 347" descr="http://www.abs.gov.au/icons/ecblank.gif">
          <a:extLst>
            <a:ext uri="{FF2B5EF4-FFF2-40B4-BE49-F238E27FC236}">
              <a16:creationId xmlns:a16="http://schemas.microsoft.com/office/drawing/2014/main" id="{6079928F-6067-4690-9E5A-C79B11B6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49" name="Picture 348" descr="http://www.abs.gov.au/icons/ecblank.gif">
          <a:extLst>
            <a:ext uri="{FF2B5EF4-FFF2-40B4-BE49-F238E27FC236}">
              <a16:creationId xmlns:a16="http://schemas.microsoft.com/office/drawing/2014/main" id="{57227563-9D81-4528-ACF9-0BAC4CA1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350" name="Picture 349" descr="http://www.abs.gov.au/icons/ecblank.gif">
          <a:extLst>
            <a:ext uri="{FF2B5EF4-FFF2-40B4-BE49-F238E27FC236}">
              <a16:creationId xmlns:a16="http://schemas.microsoft.com/office/drawing/2014/main" id="{6F415B73-E420-4880-A85B-596C5BAF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351" name="Picture 350" descr="http://www.abs.gov.au/icons/ecblank.gif">
          <a:extLst>
            <a:ext uri="{FF2B5EF4-FFF2-40B4-BE49-F238E27FC236}">
              <a16:creationId xmlns:a16="http://schemas.microsoft.com/office/drawing/2014/main" id="{9B8239B7-59A3-467E-978D-50FC039C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52" name="Picture 351" descr="http://www.abs.gov.au/icons/ecblank.gif">
          <a:extLst>
            <a:ext uri="{FF2B5EF4-FFF2-40B4-BE49-F238E27FC236}">
              <a16:creationId xmlns:a16="http://schemas.microsoft.com/office/drawing/2014/main" id="{C664719E-286E-4186-8DCC-1BA9AC5A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53" name="Picture 352" descr="http://www.abs.gov.au/icons/ecblank.gif">
          <a:extLst>
            <a:ext uri="{FF2B5EF4-FFF2-40B4-BE49-F238E27FC236}">
              <a16:creationId xmlns:a16="http://schemas.microsoft.com/office/drawing/2014/main" id="{E98062D6-3840-4B9B-901F-FDBF2388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354" name="Picture 353" descr="http://www.abs.gov.au/icons/ecblank.gif">
          <a:extLst>
            <a:ext uri="{FF2B5EF4-FFF2-40B4-BE49-F238E27FC236}">
              <a16:creationId xmlns:a16="http://schemas.microsoft.com/office/drawing/2014/main" id="{2A9D4EAD-FF78-4FAF-94C1-2F3DEDA0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355" name="Picture 354" descr="http://www.abs.gov.au/icons/ecblank.gif">
          <a:extLst>
            <a:ext uri="{FF2B5EF4-FFF2-40B4-BE49-F238E27FC236}">
              <a16:creationId xmlns:a16="http://schemas.microsoft.com/office/drawing/2014/main" id="{CAA7ABD5-6775-442F-BD06-CA544599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356" name="Picture 355" descr="http://www.abs.gov.au/icons/ecblank.gif">
          <a:extLst>
            <a:ext uri="{FF2B5EF4-FFF2-40B4-BE49-F238E27FC236}">
              <a16:creationId xmlns:a16="http://schemas.microsoft.com/office/drawing/2014/main" id="{849BC7E6-757E-4C41-AD96-1C3825C3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43890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357" name="Picture 356" descr="http://www.abs.gov.au/icons/ecblank.gif">
          <a:extLst>
            <a:ext uri="{FF2B5EF4-FFF2-40B4-BE49-F238E27FC236}">
              <a16:creationId xmlns:a16="http://schemas.microsoft.com/office/drawing/2014/main" id="{12A75AF8-C52C-4B53-9359-747DF0BB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43890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358" name="Picture 357" descr="http://www.abs.gov.au/icons/ecblank.gif">
          <a:extLst>
            <a:ext uri="{FF2B5EF4-FFF2-40B4-BE49-F238E27FC236}">
              <a16:creationId xmlns:a16="http://schemas.microsoft.com/office/drawing/2014/main" id="{0F369F5A-94E7-4897-B8CE-F9D54BE2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43890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359" name="Picture 358" descr="http://www.abs.gov.au/icons/ecblank.gif">
          <a:extLst>
            <a:ext uri="{FF2B5EF4-FFF2-40B4-BE49-F238E27FC236}">
              <a16:creationId xmlns:a16="http://schemas.microsoft.com/office/drawing/2014/main" id="{5AED050A-4678-4E3E-B52F-7EEB7C27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43890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60" name="Picture 108" descr="http://www.abs.gov.au/icons/ecblank.gif">
          <a:extLst>
            <a:ext uri="{FF2B5EF4-FFF2-40B4-BE49-F238E27FC236}">
              <a16:creationId xmlns:a16="http://schemas.microsoft.com/office/drawing/2014/main" id="{FA82CEAF-12CB-4729-AB64-7E481041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61" name="Picture 109" descr="http://www.abs.gov.au/icons/ecblank.gif">
          <a:extLst>
            <a:ext uri="{FF2B5EF4-FFF2-40B4-BE49-F238E27FC236}">
              <a16:creationId xmlns:a16="http://schemas.microsoft.com/office/drawing/2014/main" id="{4CE53AF3-8218-4FD4-9F73-F13684C0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362" name="Picture 110" descr="http://www.abs.gov.au/icons/ecblank.gif">
          <a:extLst>
            <a:ext uri="{FF2B5EF4-FFF2-40B4-BE49-F238E27FC236}">
              <a16:creationId xmlns:a16="http://schemas.microsoft.com/office/drawing/2014/main" id="{4D3A190F-FD20-4ABE-AE73-E9A8C5A1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363" name="Picture 111" descr="http://www.abs.gov.au/icons/ecblank.gif">
          <a:extLst>
            <a:ext uri="{FF2B5EF4-FFF2-40B4-BE49-F238E27FC236}">
              <a16:creationId xmlns:a16="http://schemas.microsoft.com/office/drawing/2014/main" id="{D9E96D6D-EF8B-41AD-BD5C-1DBDD94F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24450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364" name="Picture 363" descr="http://www.abs.gov.au/icons/ecblank.gif">
          <a:extLst>
            <a:ext uri="{FF2B5EF4-FFF2-40B4-BE49-F238E27FC236}">
              <a16:creationId xmlns:a16="http://schemas.microsoft.com/office/drawing/2014/main" id="{2357B368-FD9F-406E-82BE-B7C5E311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867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365" name="Picture 364" descr="http://www.abs.gov.au/icons/ecblank.gif">
          <a:extLst>
            <a:ext uri="{FF2B5EF4-FFF2-40B4-BE49-F238E27FC236}">
              <a16:creationId xmlns:a16="http://schemas.microsoft.com/office/drawing/2014/main" id="{35047A16-4808-4328-AF77-6B3FCCD0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867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366" name="Picture 365" descr="http://www.abs.gov.au/icons/ecblank.gif">
          <a:extLst>
            <a:ext uri="{FF2B5EF4-FFF2-40B4-BE49-F238E27FC236}">
              <a16:creationId xmlns:a16="http://schemas.microsoft.com/office/drawing/2014/main" id="{0597992E-DA7A-4F74-94C0-CE453069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8676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367" name="Picture 366" descr="http://www.abs.gov.au/icons/ecblank.gif">
          <a:extLst>
            <a:ext uri="{FF2B5EF4-FFF2-40B4-BE49-F238E27FC236}">
              <a16:creationId xmlns:a16="http://schemas.microsoft.com/office/drawing/2014/main" id="{2C778183-A63C-4DC2-9AE7-736CADB8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8676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368" name="Picture 367" descr="http://www.abs.gov.au/icons/ecblank.gif">
          <a:extLst>
            <a:ext uri="{FF2B5EF4-FFF2-40B4-BE49-F238E27FC236}">
              <a16:creationId xmlns:a16="http://schemas.microsoft.com/office/drawing/2014/main" id="{B679B7FE-DA0F-42C6-840E-E22E48FD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867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369" name="Picture 368" descr="http://www.abs.gov.au/icons/ecblank.gif">
          <a:extLst>
            <a:ext uri="{FF2B5EF4-FFF2-40B4-BE49-F238E27FC236}">
              <a16:creationId xmlns:a16="http://schemas.microsoft.com/office/drawing/2014/main" id="{8A11C977-E009-4CCD-BEBA-15A4ED0B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8676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370" name="Picture 369" descr="http://www.abs.gov.au/icons/ecblank.gif">
          <a:extLst>
            <a:ext uri="{FF2B5EF4-FFF2-40B4-BE49-F238E27FC236}">
              <a16:creationId xmlns:a16="http://schemas.microsoft.com/office/drawing/2014/main" id="{B8D7BD54-4345-4967-927E-215CC943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8676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371" name="Picture 370" descr="http://www.abs.gov.au/icons/ecblank.gif">
          <a:extLst>
            <a:ext uri="{FF2B5EF4-FFF2-40B4-BE49-F238E27FC236}">
              <a16:creationId xmlns:a16="http://schemas.microsoft.com/office/drawing/2014/main" id="{3502EB94-42E6-4287-A446-664C0F42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8676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372" name="Picture 371" descr="http://www.abs.gov.au/icons/ecblank.gif">
          <a:extLst>
            <a:ext uri="{FF2B5EF4-FFF2-40B4-BE49-F238E27FC236}">
              <a16:creationId xmlns:a16="http://schemas.microsoft.com/office/drawing/2014/main" id="{6DC6898F-3C59-4394-802C-8ECB593D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33975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373" name="Picture 372" descr="http://www.abs.gov.au/icons/ecblank.gif">
          <a:extLst>
            <a:ext uri="{FF2B5EF4-FFF2-40B4-BE49-F238E27FC236}">
              <a16:creationId xmlns:a16="http://schemas.microsoft.com/office/drawing/2014/main" id="{237BA9DB-6E63-48A5-9D54-63A45AAF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33975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374" name="Picture 373" descr="http://www.abs.gov.au/icons/ecblank.gif">
          <a:extLst>
            <a:ext uri="{FF2B5EF4-FFF2-40B4-BE49-F238E27FC236}">
              <a16:creationId xmlns:a16="http://schemas.microsoft.com/office/drawing/2014/main" id="{83813544-D402-4CD4-A330-3468ADDA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33975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375" name="Picture 374" descr="http://www.abs.gov.au/icons/ecblank.gif">
          <a:extLst>
            <a:ext uri="{FF2B5EF4-FFF2-40B4-BE49-F238E27FC236}">
              <a16:creationId xmlns:a16="http://schemas.microsoft.com/office/drawing/2014/main" id="{B61B1316-8629-4463-9A0D-6F0AF250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33975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376" name="Picture 375" descr="http://www.abs.gov.au/icons/ecblank.gif">
          <a:extLst>
            <a:ext uri="{FF2B5EF4-FFF2-40B4-BE49-F238E27FC236}">
              <a16:creationId xmlns:a16="http://schemas.microsoft.com/office/drawing/2014/main" id="{F177491E-22D8-4933-977B-D1EF4D4B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133975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79</xdr:row>
      <xdr:rowOff>171450</xdr:rowOff>
    </xdr:from>
    <xdr:to>
      <xdr:col>7</xdr:col>
      <xdr:colOff>9525</xdr:colOff>
      <xdr:row>79</xdr:row>
      <xdr:rowOff>180975</xdr:rowOff>
    </xdr:to>
    <xdr:pic>
      <xdr:nvPicPr>
        <xdr:cNvPr id="377" name="Picture 376" descr="http://www.abs.gov.au/icons/ecblank.gif">
          <a:extLst>
            <a:ext uri="{FF2B5EF4-FFF2-40B4-BE49-F238E27FC236}">
              <a16:creationId xmlns:a16="http://schemas.microsoft.com/office/drawing/2014/main" id="{F4ED5358-54EB-4228-8186-172A2C06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67400" y="16011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378" name="Picture 377" descr="http://www.abs.gov.au/icons/ecblank.gif">
          <a:extLst>
            <a:ext uri="{FF2B5EF4-FFF2-40B4-BE49-F238E27FC236}">
              <a16:creationId xmlns:a16="http://schemas.microsoft.com/office/drawing/2014/main" id="{4445A54A-0FB3-4D4F-B001-AFA40191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379" name="Picture 378" descr="http://www.abs.gov.au/icons/ecblank.gif">
          <a:extLst>
            <a:ext uri="{FF2B5EF4-FFF2-40B4-BE49-F238E27FC236}">
              <a16:creationId xmlns:a16="http://schemas.microsoft.com/office/drawing/2014/main" id="{4C7ACD63-337F-41F6-9839-0074D731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380" name="Picture 379" descr="http://www.abs.gov.au/icons/ecblank.gif">
          <a:extLst>
            <a:ext uri="{FF2B5EF4-FFF2-40B4-BE49-F238E27FC236}">
              <a16:creationId xmlns:a16="http://schemas.microsoft.com/office/drawing/2014/main" id="{74169C74-5FD7-4BC2-8A75-96F3BE78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381" name="Picture 380" descr="http://www.abs.gov.au/icons/ecblank.gif">
          <a:extLst>
            <a:ext uri="{FF2B5EF4-FFF2-40B4-BE49-F238E27FC236}">
              <a16:creationId xmlns:a16="http://schemas.microsoft.com/office/drawing/2014/main" id="{CEB365EB-3462-4EB1-91BC-A022BB9F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382" name="Picture 381" descr="http://www.abs.gov.au/icons/ecblank.gif">
          <a:extLst>
            <a:ext uri="{FF2B5EF4-FFF2-40B4-BE49-F238E27FC236}">
              <a16:creationId xmlns:a16="http://schemas.microsoft.com/office/drawing/2014/main" id="{1E3AC0A4-3544-4E98-A101-C66045DB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383" name="Picture 382" descr="http://www.abs.gov.au/icons/ecblank.gif">
          <a:extLst>
            <a:ext uri="{FF2B5EF4-FFF2-40B4-BE49-F238E27FC236}">
              <a16:creationId xmlns:a16="http://schemas.microsoft.com/office/drawing/2014/main" id="{6D431B7F-A855-4758-BA89-004E26E6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384" name="Picture 383" descr="http://www.abs.gov.au/icons/ecblank.gif">
          <a:extLst>
            <a:ext uri="{FF2B5EF4-FFF2-40B4-BE49-F238E27FC236}">
              <a16:creationId xmlns:a16="http://schemas.microsoft.com/office/drawing/2014/main" id="{E2D038BA-1644-4D8F-9100-34C6AB4B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385" name="Picture 384" descr="http://www.abs.gov.au/icons/ecblank.gif">
          <a:extLst>
            <a:ext uri="{FF2B5EF4-FFF2-40B4-BE49-F238E27FC236}">
              <a16:creationId xmlns:a16="http://schemas.microsoft.com/office/drawing/2014/main" id="{8C169412-F316-4A40-80BC-2C27EDD0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0</xdr:colOff>
      <xdr:row>83</xdr:row>
      <xdr:rowOff>9525</xdr:rowOff>
    </xdr:to>
    <xdr:pic>
      <xdr:nvPicPr>
        <xdr:cNvPr id="386" name="Picture 385" descr="http://www.abs.gov.au/icons/ecblank.gif">
          <a:extLst>
            <a:ext uri="{FF2B5EF4-FFF2-40B4-BE49-F238E27FC236}">
              <a16:creationId xmlns:a16="http://schemas.microsoft.com/office/drawing/2014/main" id="{2999CEAD-961B-4D65-8977-113FCABD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6602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0</xdr:colOff>
      <xdr:row>83</xdr:row>
      <xdr:rowOff>9525</xdr:rowOff>
    </xdr:to>
    <xdr:pic>
      <xdr:nvPicPr>
        <xdr:cNvPr id="387" name="Picture 386" descr="http://www.abs.gov.au/icons/ecblank.gif">
          <a:extLst>
            <a:ext uri="{FF2B5EF4-FFF2-40B4-BE49-F238E27FC236}">
              <a16:creationId xmlns:a16="http://schemas.microsoft.com/office/drawing/2014/main" id="{2F277B4F-4FBB-42D8-A17B-44A8CA8A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6602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9</xdr:col>
      <xdr:colOff>0</xdr:colOff>
      <xdr:row>99</xdr:row>
      <xdr:rowOff>9525</xdr:rowOff>
    </xdr:to>
    <xdr:pic>
      <xdr:nvPicPr>
        <xdr:cNvPr id="388" name="Picture 387" descr="http://www.abs.gov.au/icons/ecblank.gif">
          <a:extLst>
            <a:ext uri="{FF2B5EF4-FFF2-40B4-BE49-F238E27FC236}">
              <a16:creationId xmlns:a16="http://schemas.microsoft.com/office/drawing/2014/main" id="{1D643AFC-9164-4C32-818C-42FE03FF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965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9</xdr:col>
      <xdr:colOff>0</xdr:colOff>
      <xdr:row>99</xdr:row>
      <xdr:rowOff>9525</xdr:rowOff>
    </xdr:to>
    <xdr:pic>
      <xdr:nvPicPr>
        <xdr:cNvPr id="389" name="Picture 388" descr="http://www.abs.gov.au/icons/ecblank.gif">
          <a:extLst>
            <a:ext uri="{FF2B5EF4-FFF2-40B4-BE49-F238E27FC236}">
              <a16:creationId xmlns:a16="http://schemas.microsoft.com/office/drawing/2014/main" id="{19E7342C-68FD-4D6A-B1E2-0F496D87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965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390" name="Picture 108" descr="http://www.abs.gov.au/icons/ecblank.gif">
          <a:extLst>
            <a:ext uri="{FF2B5EF4-FFF2-40B4-BE49-F238E27FC236}">
              <a16:creationId xmlns:a16="http://schemas.microsoft.com/office/drawing/2014/main" id="{B41DB16D-4059-47A2-BF8C-97C1334D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391" name="Picture 109" descr="http://www.abs.gov.au/icons/ecblank.gif">
          <a:extLst>
            <a:ext uri="{FF2B5EF4-FFF2-40B4-BE49-F238E27FC236}">
              <a16:creationId xmlns:a16="http://schemas.microsoft.com/office/drawing/2014/main" id="{73DEF144-FACC-41A2-9091-1EA09E68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392" name="Picture 110" descr="http://www.abs.gov.au/icons/ecblank.gif">
          <a:extLst>
            <a:ext uri="{FF2B5EF4-FFF2-40B4-BE49-F238E27FC236}">
              <a16:creationId xmlns:a16="http://schemas.microsoft.com/office/drawing/2014/main" id="{3C1E4EF2-F71D-4F01-913B-67FE94CF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393" name="Picture 111" descr="http://www.abs.gov.au/icons/ecblank.gif">
          <a:extLst>
            <a:ext uri="{FF2B5EF4-FFF2-40B4-BE49-F238E27FC236}">
              <a16:creationId xmlns:a16="http://schemas.microsoft.com/office/drawing/2014/main" id="{5AB86989-64CE-42DB-AD14-AE041C07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394" name="Picture 393" descr="http://www.abs.gov.au/icons/ecblank.gif">
          <a:extLst>
            <a:ext uri="{FF2B5EF4-FFF2-40B4-BE49-F238E27FC236}">
              <a16:creationId xmlns:a16="http://schemas.microsoft.com/office/drawing/2014/main" id="{C433FECF-ABD3-4994-B250-4A097292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395" name="Picture 394" descr="http://www.abs.gov.au/icons/ecblank.gif">
          <a:extLst>
            <a:ext uri="{FF2B5EF4-FFF2-40B4-BE49-F238E27FC236}">
              <a16:creationId xmlns:a16="http://schemas.microsoft.com/office/drawing/2014/main" id="{A23E7420-C061-44FD-B89A-618974CE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396" name="Picture 395" descr="http://www.abs.gov.au/icons/ecblank.gif">
          <a:extLst>
            <a:ext uri="{FF2B5EF4-FFF2-40B4-BE49-F238E27FC236}">
              <a16:creationId xmlns:a16="http://schemas.microsoft.com/office/drawing/2014/main" id="{52686CB0-27B0-4834-B1A5-50C4A33C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397" name="Picture 396" descr="http://www.abs.gov.au/icons/ecblank.gif">
          <a:extLst>
            <a:ext uri="{FF2B5EF4-FFF2-40B4-BE49-F238E27FC236}">
              <a16:creationId xmlns:a16="http://schemas.microsoft.com/office/drawing/2014/main" id="{77EBF47A-0686-406A-8898-F91E20AD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398" name="Picture 397" descr="http://www.abs.gov.au/icons/ecblank.gif">
          <a:extLst>
            <a:ext uri="{FF2B5EF4-FFF2-40B4-BE49-F238E27FC236}">
              <a16:creationId xmlns:a16="http://schemas.microsoft.com/office/drawing/2014/main" id="{C409C862-0B1F-41C4-9411-11197CE2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399" name="Picture 398" descr="http://www.abs.gov.au/icons/ecblank.gif">
          <a:extLst>
            <a:ext uri="{FF2B5EF4-FFF2-40B4-BE49-F238E27FC236}">
              <a16:creationId xmlns:a16="http://schemas.microsoft.com/office/drawing/2014/main" id="{D4F7775F-4C29-44AF-9E68-F96F6E62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400" name="Picture 399" descr="http://www.abs.gov.au/icons/ecblank.gif">
          <a:extLst>
            <a:ext uri="{FF2B5EF4-FFF2-40B4-BE49-F238E27FC236}">
              <a16:creationId xmlns:a16="http://schemas.microsoft.com/office/drawing/2014/main" id="{C64A2FF7-8EB8-4B38-8802-108AC87A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401" name="Picture 400" descr="http://www.abs.gov.au/icons/ecblank.gif">
          <a:extLst>
            <a:ext uri="{FF2B5EF4-FFF2-40B4-BE49-F238E27FC236}">
              <a16:creationId xmlns:a16="http://schemas.microsoft.com/office/drawing/2014/main" id="{87CA1210-66A1-448A-990E-2B28E220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402" name="Picture 401" descr="http://www.abs.gov.au/icons/ecblank.gif">
          <a:extLst>
            <a:ext uri="{FF2B5EF4-FFF2-40B4-BE49-F238E27FC236}">
              <a16:creationId xmlns:a16="http://schemas.microsoft.com/office/drawing/2014/main" id="{C2B30746-AE5F-4153-AA4E-57BB56C1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403" name="Picture 402" descr="http://www.abs.gov.au/icons/ecblank.gif">
          <a:extLst>
            <a:ext uri="{FF2B5EF4-FFF2-40B4-BE49-F238E27FC236}">
              <a16:creationId xmlns:a16="http://schemas.microsoft.com/office/drawing/2014/main" id="{D2E7116E-006E-4DBB-95A8-B31AC66A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404" name="Picture 403" descr="http://www.abs.gov.au/icons/ecblank.gif">
          <a:extLst>
            <a:ext uri="{FF2B5EF4-FFF2-40B4-BE49-F238E27FC236}">
              <a16:creationId xmlns:a16="http://schemas.microsoft.com/office/drawing/2014/main" id="{F25E8845-8AAF-41FD-9C29-CD6E6324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405" name="Picture 404" descr="http://www.abs.gov.au/icons/ecblank.gif">
          <a:extLst>
            <a:ext uri="{FF2B5EF4-FFF2-40B4-BE49-F238E27FC236}">
              <a16:creationId xmlns:a16="http://schemas.microsoft.com/office/drawing/2014/main" id="{7A6EB616-E9A2-4064-9FA2-369BA534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406" name="Picture 108" descr="http://www.abs.gov.au/icons/ecblank.gif">
          <a:extLst>
            <a:ext uri="{FF2B5EF4-FFF2-40B4-BE49-F238E27FC236}">
              <a16:creationId xmlns:a16="http://schemas.microsoft.com/office/drawing/2014/main" id="{C8A23DF6-52EA-4B23-8939-FFD28AC9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407" name="Picture 109" descr="http://www.abs.gov.au/icons/ecblank.gif">
          <a:extLst>
            <a:ext uri="{FF2B5EF4-FFF2-40B4-BE49-F238E27FC236}">
              <a16:creationId xmlns:a16="http://schemas.microsoft.com/office/drawing/2014/main" id="{83EC07E5-5491-4B94-9F2D-5267F762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408" name="Picture 110" descr="http://www.abs.gov.au/icons/ecblank.gif">
          <a:extLst>
            <a:ext uri="{FF2B5EF4-FFF2-40B4-BE49-F238E27FC236}">
              <a16:creationId xmlns:a16="http://schemas.microsoft.com/office/drawing/2014/main" id="{B99F9CD8-161F-4227-B4E9-A6B6082D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409" name="Picture 111" descr="http://www.abs.gov.au/icons/ecblank.gif">
          <a:extLst>
            <a:ext uri="{FF2B5EF4-FFF2-40B4-BE49-F238E27FC236}">
              <a16:creationId xmlns:a16="http://schemas.microsoft.com/office/drawing/2014/main" id="{303CED64-DB0A-4914-ADBB-7FC1F258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410" name="Picture 409" descr="http://www.abs.gov.au/icons/ecblank.gif">
          <a:extLst>
            <a:ext uri="{FF2B5EF4-FFF2-40B4-BE49-F238E27FC236}">
              <a16:creationId xmlns:a16="http://schemas.microsoft.com/office/drawing/2014/main" id="{DC364309-A900-48DF-B957-6F463E01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411" name="Picture 410" descr="http://www.abs.gov.au/icons/ecblank.gif">
          <a:extLst>
            <a:ext uri="{FF2B5EF4-FFF2-40B4-BE49-F238E27FC236}">
              <a16:creationId xmlns:a16="http://schemas.microsoft.com/office/drawing/2014/main" id="{FAD5E60C-6F65-4135-95AF-0921A79D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412" name="Picture 411" descr="http://www.abs.gov.au/icons/ecblank.gif">
          <a:extLst>
            <a:ext uri="{FF2B5EF4-FFF2-40B4-BE49-F238E27FC236}">
              <a16:creationId xmlns:a16="http://schemas.microsoft.com/office/drawing/2014/main" id="{71DBFF0C-BA51-4027-B626-996FE2BE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413" name="Picture 412" descr="http://www.abs.gov.au/icons/ecblank.gif">
          <a:extLst>
            <a:ext uri="{FF2B5EF4-FFF2-40B4-BE49-F238E27FC236}">
              <a16:creationId xmlns:a16="http://schemas.microsoft.com/office/drawing/2014/main" id="{DE9B85FC-7D6E-45FA-913B-8A221BA2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414" name="Picture 413" descr="http://www.abs.gov.au/icons/ecblank.gif">
          <a:extLst>
            <a:ext uri="{FF2B5EF4-FFF2-40B4-BE49-F238E27FC236}">
              <a16:creationId xmlns:a16="http://schemas.microsoft.com/office/drawing/2014/main" id="{A1956F1E-2FF9-4D2E-BE92-9CD74D32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415" name="Picture 414" descr="http://www.abs.gov.au/icons/ecblank.gif">
          <a:extLst>
            <a:ext uri="{FF2B5EF4-FFF2-40B4-BE49-F238E27FC236}">
              <a16:creationId xmlns:a16="http://schemas.microsoft.com/office/drawing/2014/main" id="{D6638608-C108-49E9-B7D7-8C427E21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416" name="Picture 415" descr="http://www.abs.gov.au/icons/ecblank.gif">
          <a:extLst>
            <a:ext uri="{FF2B5EF4-FFF2-40B4-BE49-F238E27FC236}">
              <a16:creationId xmlns:a16="http://schemas.microsoft.com/office/drawing/2014/main" id="{F3042B78-98F5-43E6-A612-57497E65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417" name="Picture 416" descr="http://www.abs.gov.au/icons/ecblank.gif">
          <a:extLst>
            <a:ext uri="{FF2B5EF4-FFF2-40B4-BE49-F238E27FC236}">
              <a16:creationId xmlns:a16="http://schemas.microsoft.com/office/drawing/2014/main" id="{76458655-9F96-4054-A17C-BD73D48D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418" name="Picture 417" descr="http://www.abs.gov.au/icons/ecblank.gif">
          <a:extLst>
            <a:ext uri="{FF2B5EF4-FFF2-40B4-BE49-F238E27FC236}">
              <a16:creationId xmlns:a16="http://schemas.microsoft.com/office/drawing/2014/main" id="{A8C67B90-A04A-4F79-AEB4-82A81929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419" name="Picture 418" descr="http://www.abs.gov.au/icons/ecblank.gif">
          <a:extLst>
            <a:ext uri="{FF2B5EF4-FFF2-40B4-BE49-F238E27FC236}">
              <a16:creationId xmlns:a16="http://schemas.microsoft.com/office/drawing/2014/main" id="{0A905401-1BA5-42EC-8B20-60450837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420" name="Picture 419" descr="http://www.abs.gov.au/icons/ecblank.gif">
          <a:extLst>
            <a:ext uri="{FF2B5EF4-FFF2-40B4-BE49-F238E27FC236}">
              <a16:creationId xmlns:a16="http://schemas.microsoft.com/office/drawing/2014/main" id="{1468BEFF-C067-48DA-B6E3-5B332681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421" name="Picture 420" descr="http://www.abs.gov.au/icons/ecblank.gif">
          <a:extLst>
            <a:ext uri="{FF2B5EF4-FFF2-40B4-BE49-F238E27FC236}">
              <a16:creationId xmlns:a16="http://schemas.microsoft.com/office/drawing/2014/main" id="{9D9CFDDA-9823-4EB4-B8C2-EFCF41D1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578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422" name="Picture 108" descr="http://www.abs.gov.au/icons/ecblank.gif">
          <a:extLst>
            <a:ext uri="{FF2B5EF4-FFF2-40B4-BE49-F238E27FC236}">
              <a16:creationId xmlns:a16="http://schemas.microsoft.com/office/drawing/2014/main" id="{8D4B20C2-3293-4A54-9AEA-3D30620A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423" name="Picture 109" descr="http://www.abs.gov.au/icons/ecblank.gif">
          <a:extLst>
            <a:ext uri="{FF2B5EF4-FFF2-40B4-BE49-F238E27FC236}">
              <a16:creationId xmlns:a16="http://schemas.microsoft.com/office/drawing/2014/main" id="{03EB10D8-5615-45B5-A5A4-3F39B777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424" name="Picture 110" descr="http://www.abs.gov.au/icons/ecblank.gif">
          <a:extLst>
            <a:ext uri="{FF2B5EF4-FFF2-40B4-BE49-F238E27FC236}">
              <a16:creationId xmlns:a16="http://schemas.microsoft.com/office/drawing/2014/main" id="{7AAEA366-8C2E-4293-B13A-36CFD4D0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425" name="Picture 111" descr="http://www.abs.gov.au/icons/ecblank.gif">
          <a:extLst>
            <a:ext uri="{FF2B5EF4-FFF2-40B4-BE49-F238E27FC236}">
              <a16:creationId xmlns:a16="http://schemas.microsoft.com/office/drawing/2014/main" id="{5F867989-9C6C-4907-B143-355041C7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672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426" name="Picture 425" descr="http://www.abs.gov.au/icons/ecblank.gif">
          <a:extLst>
            <a:ext uri="{FF2B5EF4-FFF2-40B4-BE49-F238E27FC236}">
              <a16:creationId xmlns:a16="http://schemas.microsoft.com/office/drawing/2014/main" id="{9FF43294-AD60-4A4D-8871-67361497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427" name="Picture 426" descr="http://www.abs.gov.au/icons/ecblank.gif">
          <a:extLst>
            <a:ext uri="{FF2B5EF4-FFF2-40B4-BE49-F238E27FC236}">
              <a16:creationId xmlns:a16="http://schemas.microsoft.com/office/drawing/2014/main" id="{2796A050-CB2C-4814-8855-BADAB68A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428" name="Picture 427" descr="http://www.abs.gov.au/icons/ecblank.gif">
          <a:extLst>
            <a:ext uri="{FF2B5EF4-FFF2-40B4-BE49-F238E27FC236}">
              <a16:creationId xmlns:a16="http://schemas.microsoft.com/office/drawing/2014/main" id="{8AF2470B-1BD9-49A3-B9DE-6A780D9E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429" name="Picture 428" descr="http://www.abs.gov.au/icons/ecblank.gif">
          <a:extLst>
            <a:ext uri="{FF2B5EF4-FFF2-40B4-BE49-F238E27FC236}">
              <a16:creationId xmlns:a16="http://schemas.microsoft.com/office/drawing/2014/main" id="{DF081703-58B7-401F-8769-A5708C47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430" name="Picture 429" descr="http://www.abs.gov.au/icons/ecblank.gif">
          <a:extLst>
            <a:ext uri="{FF2B5EF4-FFF2-40B4-BE49-F238E27FC236}">
              <a16:creationId xmlns:a16="http://schemas.microsoft.com/office/drawing/2014/main" id="{4F827E0C-FB00-4EA3-8D08-101576A1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431" name="Picture 430" descr="http://www.abs.gov.au/icons/ecblank.gif">
          <a:extLst>
            <a:ext uri="{FF2B5EF4-FFF2-40B4-BE49-F238E27FC236}">
              <a16:creationId xmlns:a16="http://schemas.microsoft.com/office/drawing/2014/main" id="{FDF93BCA-5F46-4380-80EC-A57333BF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432" name="Picture 431" descr="http://www.abs.gov.au/icons/ecblank.gif">
          <a:extLst>
            <a:ext uri="{FF2B5EF4-FFF2-40B4-BE49-F238E27FC236}">
              <a16:creationId xmlns:a16="http://schemas.microsoft.com/office/drawing/2014/main" id="{73E72206-788C-4489-86B1-CA289969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433" name="Picture 432" descr="http://www.abs.gov.au/icons/ecblank.gif">
          <a:extLst>
            <a:ext uri="{FF2B5EF4-FFF2-40B4-BE49-F238E27FC236}">
              <a16:creationId xmlns:a16="http://schemas.microsoft.com/office/drawing/2014/main" id="{566E7ED1-9966-43AC-9ABA-B1987CF0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434" name="Picture 433" descr="http://www.abs.gov.au/icons/ecblank.gif">
          <a:extLst>
            <a:ext uri="{FF2B5EF4-FFF2-40B4-BE49-F238E27FC236}">
              <a16:creationId xmlns:a16="http://schemas.microsoft.com/office/drawing/2014/main" id="{3EFC4157-A8D9-440C-BF11-603F5CA0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76750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435" name="Picture 434" descr="http://www.abs.gov.au/icons/ecblank.gif">
          <a:extLst>
            <a:ext uri="{FF2B5EF4-FFF2-40B4-BE49-F238E27FC236}">
              <a16:creationId xmlns:a16="http://schemas.microsoft.com/office/drawing/2014/main" id="{B75A4C6A-E2D0-4E20-933A-37AE215E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76750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436" name="Picture 435" descr="http://www.abs.gov.au/icons/ecblank.gif">
          <a:extLst>
            <a:ext uri="{FF2B5EF4-FFF2-40B4-BE49-F238E27FC236}">
              <a16:creationId xmlns:a16="http://schemas.microsoft.com/office/drawing/2014/main" id="{58AF3DB6-6CA5-4B1B-8400-84F97CCC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76750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437" name="Picture 436" descr="http://www.abs.gov.au/icons/ecblank.gif">
          <a:extLst>
            <a:ext uri="{FF2B5EF4-FFF2-40B4-BE49-F238E27FC236}">
              <a16:creationId xmlns:a16="http://schemas.microsoft.com/office/drawing/2014/main" id="{7789575D-E924-47C6-889F-4564B6EF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76750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438" name="Picture 437" descr="http://www.abs.gov.au/icons/ecblank.gif">
          <a:extLst>
            <a:ext uri="{FF2B5EF4-FFF2-40B4-BE49-F238E27FC236}">
              <a16:creationId xmlns:a16="http://schemas.microsoft.com/office/drawing/2014/main" id="{21E9DDA1-08BB-49A5-B87C-0B2D6221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476750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9525</xdr:colOff>
      <xdr:row>80</xdr:row>
      <xdr:rowOff>9525</xdr:rowOff>
    </xdr:to>
    <xdr:pic>
      <xdr:nvPicPr>
        <xdr:cNvPr id="439" name="Picture 438" descr="http://www.abs.gov.au/icons/ecblank.gif">
          <a:extLst>
            <a:ext uri="{FF2B5EF4-FFF2-40B4-BE49-F238E27FC236}">
              <a16:creationId xmlns:a16="http://schemas.microsoft.com/office/drawing/2014/main" id="{2C93C588-9FB5-4D74-AA42-E3E56FB2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725150" y="1603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9525</xdr:colOff>
      <xdr:row>80</xdr:row>
      <xdr:rowOff>9525</xdr:rowOff>
    </xdr:to>
    <xdr:pic>
      <xdr:nvPicPr>
        <xdr:cNvPr id="440" name="Picture 439" descr="http://www.abs.gov.au/icons/ecblank.gif">
          <a:extLst>
            <a:ext uri="{FF2B5EF4-FFF2-40B4-BE49-F238E27FC236}">
              <a16:creationId xmlns:a16="http://schemas.microsoft.com/office/drawing/2014/main" id="{64FB7FCE-2BBE-445C-A63A-5CAA748E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725150" y="1603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9525</xdr:colOff>
      <xdr:row>96</xdr:row>
      <xdr:rowOff>9525</xdr:rowOff>
    </xdr:to>
    <xdr:pic>
      <xdr:nvPicPr>
        <xdr:cNvPr id="441" name="Picture 440" descr="http://www.abs.gov.au/icons/ecblank.gif">
          <a:extLst>
            <a:ext uri="{FF2B5EF4-FFF2-40B4-BE49-F238E27FC236}">
              <a16:creationId xmlns:a16="http://schemas.microsoft.com/office/drawing/2014/main" id="{9D749BBA-2FD1-4308-99FC-673083EF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725150" y="1907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9525</xdr:colOff>
      <xdr:row>96</xdr:row>
      <xdr:rowOff>9525</xdr:rowOff>
    </xdr:to>
    <xdr:pic>
      <xdr:nvPicPr>
        <xdr:cNvPr id="442" name="Picture 441" descr="http://www.abs.gov.au/icons/ecblank.gif">
          <a:extLst>
            <a:ext uri="{FF2B5EF4-FFF2-40B4-BE49-F238E27FC236}">
              <a16:creationId xmlns:a16="http://schemas.microsoft.com/office/drawing/2014/main" id="{DF2AF23F-7250-44C5-8848-F3518368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725150" y="1907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443" name="Picture 442" descr="http://www.abs.gov.au/icons/ecblank.gif">
          <a:extLst>
            <a:ext uri="{FF2B5EF4-FFF2-40B4-BE49-F238E27FC236}">
              <a16:creationId xmlns:a16="http://schemas.microsoft.com/office/drawing/2014/main" id="{19CD15B3-2B2C-4E33-8D1C-0F5DE896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444" name="Picture 443" descr="http://www.abs.gov.au/icons/ecblank.gif">
          <a:extLst>
            <a:ext uri="{FF2B5EF4-FFF2-40B4-BE49-F238E27FC236}">
              <a16:creationId xmlns:a16="http://schemas.microsoft.com/office/drawing/2014/main" id="{3D00E111-AEC5-44E9-95F7-55B6C014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445" name="Picture 444" descr="http://www.abs.gov.au/icons/ecblank.gif">
          <a:extLst>
            <a:ext uri="{FF2B5EF4-FFF2-40B4-BE49-F238E27FC236}">
              <a16:creationId xmlns:a16="http://schemas.microsoft.com/office/drawing/2014/main" id="{87DD39F7-88B6-462A-B52D-B483E48C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446" name="Picture 445" descr="http://www.abs.gov.au/icons/ecblank.gif">
          <a:extLst>
            <a:ext uri="{FF2B5EF4-FFF2-40B4-BE49-F238E27FC236}">
              <a16:creationId xmlns:a16="http://schemas.microsoft.com/office/drawing/2014/main" id="{113258BD-68F6-4F36-8334-739244D3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447" name="Picture 446" descr="http://www.abs.gov.au/icons/ecblank.gif">
          <a:extLst>
            <a:ext uri="{FF2B5EF4-FFF2-40B4-BE49-F238E27FC236}">
              <a16:creationId xmlns:a16="http://schemas.microsoft.com/office/drawing/2014/main" id="{4A5564B5-7244-4E1E-8341-B7DFE180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448" name="Picture 447" descr="http://www.abs.gov.au/icons/ecblank.gif">
          <a:extLst>
            <a:ext uri="{FF2B5EF4-FFF2-40B4-BE49-F238E27FC236}">
              <a16:creationId xmlns:a16="http://schemas.microsoft.com/office/drawing/2014/main" id="{0A0E1C6C-8851-4511-B675-C9FF9A23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449" name="Picture 448" descr="http://www.abs.gov.au/icons/ecblank.gif">
          <a:extLst>
            <a:ext uri="{FF2B5EF4-FFF2-40B4-BE49-F238E27FC236}">
              <a16:creationId xmlns:a16="http://schemas.microsoft.com/office/drawing/2014/main" id="{6AAC6AA9-6101-4F24-BE37-E941D998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450" name="Picture 449" descr="http://www.abs.gov.au/icons/ecblank.gif">
          <a:extLst>
            <a:ext uri="{FF2B5EF4-FFF2-40B4-BE49-F238E27FC236}">
              <a16:creationId xmlns:a16="http://schemas.microsoft.com/office/drawing/2014/main" id="{A1D0D965-A41A-4512-BEC4-30F97999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451" name="Picture 450" descr="http://www.abs.gov.au/icons/ecblank.gif">
          <a:extLst>
            <a:ext uri="{FF2B5EF4-FFF2-40B4-BE49-F238E27FC236}">
              <a16:creationId xmlns:a16="http://schemas.microsoft.com/office/drawing/2014/main" id="{9F0D1C85-817F-4A87-9267-47A7044D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452" name="Picture 451" descr="http://www.abs.gov.au/icons/ecblank.gif">
          <a:extLst>
            <a:ext uri="{FF2B5EF4-FFF2-40B4-BE49-F238E27FC236}">
              <a16:creationId xmlns:a16="http://schemas.microsoft.com/office/drawing/2014/main" id="{AB75728B-6CB4-4E70-9FAD-DF0B484B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453" name="Picture 452" descr="http://www.abs.gov.au/icons/ecblank.gif">
          <a:extLst>
            <a:ext uri="{FF2B5EF4-FFF2-40B4-BE49-F238E27FC236}">
              <a16:creationId xmlns:a16="http://schemas.microsoft.com/office/drawing/2014/main" id="{08076168-F3EA-49EF-BCAB-87EAF393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454" name="Picture 453" descr="http://www.abs.gov.au/icons/ecblank.gif">
          <a:extLst>
            <a:ext uri="{FF2B5EF4-FFF2-40B4-BE49-F238E27FC236}">
              <a16:creationId xmlns:a16="http://schemas.microsoft.com/office/drawing/2014/main" id="{7957B9F1-61B1-4292-960D-129B1601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455" name="Picture 454" descr="http://www.abs.gov.au/icons/ecblank.gif">
          <a:extLst>
            <a:ext uri="{FF2B5EF4-FFF2-40B4-BE49-F238E27FC236}">
              <a16:creationId xmlns:a16="http://schemas.microsoft.com/office/drawing/2014/main" id="{EB827956-3ADF-4F90-B940-95BB23A1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456" name="Picture 455" descr="http://www.abs.gov.au/icons/ecblank.gif">
          <a:extLst>
            <a:ext uri="{FF2B5EF4-FFF2-40B4-BE49-F238E27FC236}">
              <a16:creationId xmlns:a16="http://schemas.microsoft.com/office/drawing/2014/main" id="{10BC3CFC-FFC6-402F-ABBD-064C9EAF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457" name="Picture 456" descr="http://www.abs.gov.au/icons/ecblank.gif">
          <a:extLst>
            <a:ext uri="{FF2B5EF4-FFF2-40B4-BE49-F238E27FC236}">
              <a16:creationId xmlns:a16="http://schemas.microsoft.com/office/drawing/2014/main" id="{2C707EB4-9F77-4B0F-8E24-0AAF9F2F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458" name="Picture 457" descr="http://www.abs.gov.au/icons/ecblank.gif">
          <a:extLst>
            <a:ext uri="{FF2B5EF4-FFF2-40B4-BE49-F238E27FC236}">
              <a16:creationId xmlns:a16="http://schemas.microsoft.com/office/drawing/2014/main" id="{74B62A56-648D-4581-9B9D-8352012E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459" name="Picture 458" descr="http://www.abs.gov.au/icons/ecblank.gif">
          <a:extLst>
            <a:ext uri="{FF2B5EF4-FFF2-40B4-BE49-F238E27FC236}">
              <a16:creationId xmlns:a16="http://schemas.microsoft.com/office/drawing/2014/main" id="{1ADE1AEC-3EBF-4E62-8639-7A0BDB7A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460" name="Picture 459" descr="http://www.abs.gov.au/icons/ecblank.gif">
          <a:extLst>
            <a:ext uri="{FF2B5EF4-FFF2-40B4-BE49-F238E27FC236}">
              <a16:creationId xmlns:a16="http://schemas.microsoft.com/office/drawing/2014/main" id="{9F16EB18-06A1-4C66-803D-B4EDE24E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461" name="Picture 460" descr="http://www.abs.gov.au/icons/ecblank.gif">
          <a:extLst>
            <a:ext uri="{FF2B5EF4-FFF2-40B4-BE49-F238E27FC236}">
              <a16:creationId xmlns:a16="http://schemas.microsoft.com/office/drawing/2014/main" id="{3D957771-2962-4624-ADAF-56D8050F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462" name="Picture 461" descr="http://www.abs.gov.au/icons/ecblank.gif">
          <a:extLst>
            <a:ext uri="{FF2B5EF4-FFF2-40B4-BE49-F238E27FC236}">
              <a16:creationId xmlns:a16="http://schemas.microsoft.com/office/drawing/2014/main" id="{0F41DE4C-DA32-437D-84E5-2EFB24D0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463" name="Picture 462" descr="http://www.abs.gov.au/icons/ecblank.gif">
          <a:extLst>
            <a:ext uri="{FF2B5EF4-FFF2-40B4-BE49-F238E27FC236}">
              <a16:creationId xmlns:a16="http://schemas.microsoft.com/office/drawing/2014/main" id="{C5D4EDDC-7446-4B1C-8B95-B872C38A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464" name="Picture 463" descr="http://www.abs.gov.au/icons/ecblank.gif">
          <a:extLst>
            <a:ext uri="{FF2B5EF4-FFF2-40B4-BE49-F238E27FC236}">
              <a16:creationId xmlns:a16="http://schemas.microsoft.com/office/drawing/2014/main" id="{12377461-6D72-401C-AEB4-34392757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465" name="Picture 464" descr="http://www.abs.gov.au/icons/ecblank.gif">
          <a:extLst>
            <a:ext uri="{FF2B5EF4-FFF2-40B4-BE49-F238E27FC236}">
              <a16:creationId xmlns:a16="http://schemas.microsoft.com/office/drawing/2014/main" id="{A4D77E75-A30B-4E47-8D71-95294247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466" name="Picture 465" descr="http://www.abs.gov.au/icons/ecblank.gif">
          <a:extLst>
            <a:ext uri="{FF2B5EF4-FFF2-40B4-BE49-F238E27FC236}">
              <a16:creationId xmlns:a16="http://schemas.microsoft.com/office/drawing/2014/main" id="{594F88F3-9E3D-42D0-A184-1676B5FD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467" name="Picture 108" descr="http://www.abs.gov.au/icons/ecblank.gif">
          <a:extLst>
            <a:ext uri="{FF2B5EF4-FFF2-40B4-BE49-F238E27FC236}">
              <a16:creationId xmlns:a16="http://schemas.microsoft.com/office/drawing/2014/main" id="{8321FB3D-9A71-471B-8CD8-E3042E81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468" name="Picture 109" descr="http://www.abs.gov.au/icons/ecblank.gif">
          <a:extLst>
            <a:ext uri="{FF2B5EF4-FFF2-40B4-BE49-F238E27FC236}">
              <a16:creationId xmlns:a16="http://schemas.microsoft.com/office/drawing/2014/main" id="{8D8BB673-96D2-4ADD-A5B8-9065B35E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469" name="Picture 110" descr="http://www.abs.gov.au/icons/ecblank.gif">
          <a:extLst>
            <a:ext uri="{FF2B5EF4-FFF2-40B4-BE49-F238E27FC236}">
              <a16:creationId xmlns:a16="http://schemas.microsoft.com/office/drawing/2014/main" id="{17693823-89F6-4015-A913-68FFF43A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470" name="Picture 111" descr="http://www.abs.gov.au/icons/ecblank.gif">
          <a:extLst>
            <a:ext uri="{FF2B5EF4-FFF2-40B4-BE49-F238E27FC236}">
              <a16:creationId xmlns:a16="http://schemas.microsoft.com/office/drawing/2014/main" id="{51352B4D-192D-4846-9BFA-205DCC98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471" name="Picture 470" descr="http://www.abs.gov.au/icons/ecblank.gif">
          <a:extLst>
            <a:ext uri="{FF2B5EF4-FFF2-40B4-BE49-F238E27FC236}">
              <a16:creationId xmlns:a16="http://schemas.microsoft.com/office/drawing/2014/main" id="{0B7EDA2C-24D2-40DE-9B84-594C5E0A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472" name="Picture 471" descr="http://www.abs.gov.au/icons/ecblank.gif">
          <a:extLst>
            <a:ext uri="{FF2B5EF4-FFF2-40B4-BE49-F238E27FC236}">
              <a16:creationId xmlns:a16="http://schemas.microsoft.com/office/drawing/2014/main" id="{A9392596-DB58-4D86-845F-546C38C6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473" name="Picture 472" descr="http://www.abs.gov.au/icons/ecblank.gif">
          <a:extLst>
            <a:ext uri="{FF2B5EF4-FFF2-40B4-BE49-F238E27FC236}">
              <a16:creationId xmlns:a16="http://schemas.microsoft.com/office/drawing/2014/main" id="{58ADD8AA-28B3-40CF-A223-9946D955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474" name="Picture 473" descr="http://www.abs.gov.au/icons/ecblank.gif">
          <a:extLst>
            <a:ext uri="{FF2B5EF4-FFF2-40B4-BE49-F238E27FC236}">
              <a16:creationId xmlns:a16="http://schemas.microsoft.com/office/drawing/2014/main" id="{CA6C0C17-19EC-45B5-A395-3F75A4E9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475" name="Picture 474" descr="http://www.abs.gov.au/icons/ecblank.gif">
          <a:extLst>
            <a:ext uri="{FF2B5EF4-FFF2-40B4-BE49-F238E27FC236}">
              <a16:creationId xmlns:a16="http://schemas.microsoft.com/office/drawing/2014/main" id="{DEFB0774-459D-4E09-BF7A-9951A600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476" name="Picture 475" descr="http://www.abs.gov.au/icons/ecblank.gif">
          <a:extLst>
            <a:ext uri="{FF2B5EF4-FFF2-40B4-BE49-F238E27FC236}">
              <a16:creationId xmlns:a16="http://schemas.microsoft.com/office/drawing/2014/main" id="{F178FC22-7EB8-41AE-8BE8-80090FD6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477" name="Picture 476" descr="http://www.abs.gov.au/icons/ecblank.gif">
          <a:extLst>
            <a:ext uri="{FF2B5EF4-FFF2-40B4-BE49-F238E27FC236}">
              <a16:creationId xmlns:a16="http://schemas.microsoft.com/office/drawing/2014/main" id="{B62E89BE-ACCD-43BF-8A3D-C88C1029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478" name="Picture 477" descr="http://www.abs.gov.au/icons/ecblank.gif">
          <a:extLst>
            <a:ext uri="{FF2B5EF4-FFF2-40B4-BE49-F238E27FC236}">
              <a16:creationId xmlns:a16="http://schemas.microsoft.com/office/drawing/2014/main" id="{BFE40A49-1182-43B0-B796-5F3D73F4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479" name="Picture 108" descr="http://www.abs.gov.au/icons/ecblank.gif">
          <a:extLst>
            <a:ext uri="{FF2B5EF4-FFF2-40B4-BE49-F238E27FC236}">
              <a16:creationId xmlns:a16="http://schemas.microsoft.com/office/drawing/2014/main" id="{9CABB8D9-968B-4637-AA0B-0DB98C6D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480" name="Picture 109" descr="http://www.abs.gov.au/icons/ecblank.gif">
          <a:extLst>
            <a:ext uri="{FF2B5EF4-FFF2-40B4-BE49-F238E27FC236}">
              <a16:creationId xmlns:a16="http://schemas.microsoft.com/office/drawing/2014/main" id="{661C7491-F4B6-4BAC-B844-2F8C55DD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481" name="Picture 110" descr="http://www.abs.gov.au/icons/ecblank.gif">
          <a:extLst>
            <a:ext uri="{FF2B5EF4-FFF2-40B4-BE49-F238E27FC236}">
              <a16:creationId xmlns:a16="http://schemas.microsoft.com/office/drawing/2014/main" id="{3DCC68CA-2B07-4DF8-AA5F-DF8EEE1F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482" name="Picture 111" descr="http://www.abs.gov.au/icons/ecblank.gif">
          <a:extLst>
            <a:ext uri="{FF2B5EF4-FFF2-40B4-BE49-F238E27FC236}">
              <a16:creationId xmlns:a16="http://schemas.microsoft.com/office/drawing/2014/main" id="{AF6C433A-4AAD-4F64-80BB-2E5A7E4D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395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80</xdr:row>
      <xdr:rowOff>0</xdr:rowOff>
    </xdr:from>
    <xdr:to>
      <xdr:col>12</xdr:col>
      <xdr:colOff>0</xdr:colOff>
      <xdr:row>80</xdr:row>
      <xdr:rowOff>9525</xdr:rowOff>
    </xdr:to>
    <xdr:pic>
      <xdr:nvPicPr>
        <xdr:cNvPr id="483" name="Picture 482" descr="http://www.abs.gov.au/icons/ecblank.gif">
          <a:extLst>
            <a:ext uri="{FF2B5EF4-FFF2-40B4-BE49-F238E27FC236}">
              <a16:creationId xmlns:a16="http://schemas.microsoft.com/office/drawing/2014/main" id="{4D9ABE9E-4B9E-40F8-8C56-BAB2D27D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2964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80</xdr:row>
      <xdr:rowOff>0</xdr:rowOff>
    </xdr:from>
    <xdr:to>
      <xdr:col>12</xdr:col>
      <xdr:colOff>0</xdr:colOff>
      <xdr:row>80</xdr:row>
      <xdr:rowOff>9525</xdr:rowOff>
    </xdr:to>
    <xdr:pic>
      <xdr:nvPicPr>
        <xdr:cNvPr id="484" name="Picture 483" descr="http://www.abs.gov.au/icons/ecblank.gif">
          <a:extLst>
            <a:ext uri="{FF2B5EF4-FFF2-40B4-BE49-F238E27FC236}">
              <a16:creationId xmlns:a16="http://schemas.microsoft.com/office/drawing/2014/main" id="{4D685CF7-B56B-4C76-B79D-0B2A01A3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2964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9525</xdr:rowOff>
    </xdr:to>
    <xdr:pic>
      <xdr:nvPicPr>
        <xdr:cNvPr id="485" name="Picture 484" descr="http://www.abs.gov.au/icons/ecblank.gif">
          <a:extLst>
            <a:ext uri="{FF2B5EF4-FFF2-40B4-BE49-F238E27FC236}">
              <a16:creationId xmlns:a16="http://schemas.microsoft.com/office/drawing/2014/main" id="{754FF2D8-A387-429E-A06A-8B8CB6C8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2964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9525</xdr:rowOff>
    </xdr:to>
    <xdr:pic>
      <xdr:nvPicPr>
        <xdr:cNvPr id="486" name="Picture 485" descr="http://www.abs.gov.au/icons/ecblank.gif">
          <a:extLst>
            <a:ext uri="{FF2B5EF4-FFF2-40B4-BE49-F238E27FC236}">
              <a16:creationId xmlns:a16="http://schemas.microsoft.com/office/drawing/2014/main" id="{496C085D-C384-479A-A2FB-0EE2A8B9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2964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80</xdr:row>
      <xdr:rowOff>0</xdr:rowOff>
    </xdr:from>
    <xdr:to>
      <xdr:col>12</xdr:col>
      <xdr:colOff>0</xdr:colOff>
      <xdr:row>80</xdr:row>
      <xdr:rowOff>9525</xdr:rowOff>
    </xdr:to>
    <xdr:pic>
      <xdr:nvPicPr>
        <xdr:cNvPr id="487" name="Picture 486" descr="http://www.abs.gov.au/icons/ecblank.gif">
          <a:extLst>
            <a:ext uri="{FF2B5EF4-FFF2-40B4-BE49-F238E27FC236}">
              <a16:creationId xmlns:a16="http://schemas.microsoft.com/office/drawing/2014/main" id="{1ECCAA09-9A28-4333-B7B0-736B1F16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2964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80</xdr:row>
      <xdr:rowOff>0</xdr:rowOff>
    </xdr:from>
    <xdr:to>
      <xdr:col>12</xdr:col>
      <xdr:colOff>0</xdr:colOff>
      <xdr:row>80</xdr:row>
      <xdr:rowOff>9525</xdr:rowOff>
    </xdr:to>
    <xdr:pic>
      <xdr:nvPicPr>
        <xdr:cNvPr id="488" name="Picture 487" descr="http://www.abs.gov.au/icons/ecblank.gif">
          <a:extLst>
            <a:ext uri="{FF2B5EF4-FFF2-40B4-BE49-F238E27FC236}">
              <a16:creationId xmlns:a16="http://schemas.microsoft.com/office/drawing/2014/main" id="{D4ED9083-9A8C-4DE2-92B5-62E2573B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2964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9525</xdr:rowOff>
    </xdr:to>
    <xdr:pic>
      <xdr:nvPicPr>
        <xdr:cNvPr id="489" name="Picture 488" descr="http://www.abs.gov.au/icons/ecblank.gif">
          <a:extLst>
            <a:ext uri="{FF2B5EF4-FFF2-40B4-BE49-F238E27FC236}">
              <a16:creationId xmlns:a16="http://schemas.microsoft.com/office/drawing/2014/main" id="{2FBEACE2-2435-46CA-8285-ED82AB7B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2964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9525</xdr:rowOff>
    </xdr:to>
    <xdr:pic>
      <xdr:nvPicPr>
        <xdr:cNvPr id="490" name="Picture 489" descr="http://www.abs.gov.au/icons/ecblank.gif">
          <a:extLst>
            <a:ext uri="{FF2B5EF4-FFF2-40B4-BE49-F238E27FC236}">
              <a16:creationId xmlns:a16="http://schemas.microsoft.com/office/drawing/2014/main" id="{2E51E7A0-9EF1-4597-8D0C-4C3673EA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2964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9525</xdr:colOff>
      <xdr:row>79</xdr:row>
      <xdr:rowOff>9525</xdr:rowOff>
    </xdr:to>
    <xdr:pic>
      <xdr:nvPicPr>
        <xdr:cNvPr id="491" name="Picture 490" descr="http://www.abs.gov.au/icons/ecblank.gif">
          <a:extLst>
            <a:ext uri="{FF2B5EF4-FFF2-40B4-BE49-F238E27FC236}">
              <a16:creationId xmlns:a16="http://schemas.microsoft.com/office/drawing/2014/main" id="{BEF74A53-18E3-4976-99BE-BBA7E6BA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153900" y="1584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9525</xdr:colOff>
      <xdr:row>79</xdr:row>
      <xdr:rowOff>9525</xdr:rowOff>
    </xdr:to>
    <xdr:pic>
      <xdr:nvPicPr>
        <xdr:cNvPr id="492" name="Picture 491" descr="http://www.abs.gov.au/icons/ecblank.gif">
          <a:extLst>
            <a:ext uri="{FF2B5EF4-FFF2-40B4-BE49-F238E27FC236}">
              <a16:creationId xmlns:a16="http://schemas.microsoft.com/office/drawing/2014/main" id="{D9E24C55-D12D-4EF7-8219-63E3176D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153900" y="1584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9525</xdr:colOff>
      <xdr:row>95</xdr:row>
      <xdr:rowOff>9525</xdr:rowOff>
    </xdr:to>
    <xdr:pic>
      <xdr:nvPicPr>
        <xdr:cNvPr id="493" name="Picture 492" descr="http://www.abs.gov.au/icons/ecblank.gif">
          <a:extLst>
            <a:ext uri="{FF2B5EF4-FFF2-40B4-BE49-F238E27FC236}">
              <a16:creationId xmlns:a16="http://schemas.microsoft.com/office/drawing/2014/main" id="{6A106C2C-5447-4E16-8122-85807885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153900" y="18888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9525</xdr:colOff>
      <xdr:row>95</xdr:row>
      <xdr:rowOff>9525</xdr:rowOff>
    </xdr:to>
    <xdr:pic>
      <xdr:nvPicPr>
        <xdr:cNvPr id="494" name="Picture 493" descr="http://www.abs.gov.au/icons/ecblank.gif">
          <a:extLst>
            <a:ext uri="{FF2B5EF4-FFF2-40B4-BE49-F238E27FC236}">
              <a16:creationId xmlns:a16="http://schemas.microsoft.com/office/drawing/2014/main" id="{F48E9397-0868-4434-9C56-0D43AF39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153900" y="18888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495" name="Picture 494" descr="http://www.abs.gov.au/icons/ecblank.gif">
          <a:extLst>
            <a:ext uri="{FF2B5EF4-FFF2-40B4-BE49-F238E27FC236}">
              <a16:creationId xmlns:a16="http://schemas.microsoft.com/office/drawing/2014/main" id="{CAADFCB2-0EAD-476A-8E30-C8536BAD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496" name="Picture 495" descr="http://www.abs.gov.au/icons/ecblank.gif">
          <a:extLst>
            <a:ext uri="{FF2B5EF4-FFF2-40B4-BE49-F238E27FC236}">
              <a16:creationId xmlns:a16="http://schemas.microsoft.com/office/drawing/2014/main" id="{CF66FFB3-292C-4C85-AF20-53357132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497" name="Picture 496" descr="http://www.abs.gov.au/icons/ecblank.gif">
          <a:extLst>
            <a:ext uri="{FF2B5EF4-FFF2-40B4-BE49-F238E27FC236}">
              <a16:creationId xmlns:a16="http://schemas.microsoft.com/office/drawing/2014/main" id="{34F4B949-78A7-48ED-9BF8-862F8B0B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498" name="Picture 497" descr="http://www.abs.gov.au/icons/ecblank.gif">
          <a:extLst>
            <a:ext uri="{FF2B5EF4-FFF2-40B4-BE49-F238E27FC236}">
              <a16:creationId xmlns:a16="http://schemas.microsoft.com/office/drawing/2014/main" id="{6B84EEF5-0F0E-445E-96A5-285C53A7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499" name="Picture 498" descr="http://www.abs.gov.au/icons/ecblank.gif">
          <a:extLst>
            <a:ext uri="{FF2B5EF4-FFF2-40B4-BE49-F238E27FC236}">
              <a16:creationId xmlns:a16="http://schemas.microsoft.com/office/drawing/2014/main" id="{DC5F9BAF-43ED-4A80-8665-80E97B6F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500" name="Picture 499" descr="http://www.abs.gov.au/icons/ecblank.gif">
          <a:extLst>
            <a:ext uri="{FF2B5EF4-FFF2-40B4-BE49-F238E27FC236}">
              <a16:creationId xmlns:a16="http://schemas.microsoft.com/office/drawing/2014/main" id="{C8B44E1F-341A-432F-BAF2-218E9F18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501" name="Picture 500" descr="http://www.abs.gov.au/icons/ecblank.gif">
          <a:extLst>
            <a:ext uri="{FF2B5EF4-FFF2-40B4-BE49-F238E27FC236}">
              <a16:creationId xmlns:a16="http://schemas.microsoft.com/office/drawing/2014/main" id="{C36C0C88-FBDB-46E1-8C04-D68EE92C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502" name="Picture 501" descr="http://www.abs.gov.au/icons/ecblank.gif">
          <a:extLst>
            <a:ext uri="{FF2B5EF4-FFF2-40B4-BE49-F238E27FC236}">
              <a16:creationId xmlns:a16="http://schemas.microsoft.com/office/drawing/2014/main" id="{DE972047-7B91-432A-9923-3C487595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503" name="Picture 502" descr="http://www.abs.gov.au/icons/ecblank.gif">
          <a:extLst>
            <a:ext uri="{FF2B5EF4-FFF2-40B4-BE49-F238E27FC236}">
              <a16:creationId xmlns:a16="http://schemas.microsoft.com/office/drawing/2014/main" id="{DA64C6A7-4909-4985-9272-8BEBCEA5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504" name="Picture 503" descr="http://www.abs.gov.au/icons/ecblank.gif">
          <a:extLst>
            <a:ext uri="{FF2B5EF4-FFF2-40B4-BE49-F238E27FC236}">
              <a16:creationId xmlns:a16="http://schemas.microsoft.com/office/drawing/2014/main" id="{D12E3971-A53B-4AEB-9612-94FEE005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505" name="Picture 504" descr="http://www.abs.gov.au/icons/ecblank.gif">
          <a:extLst>
            <a:ext uri="{FF2B5EF4-FFF2-40B4-BE49-F238E27FC236}">
              <a16:creationId xmlns:a16="http://schemas.microsoft.com/office/drawing/2014/main" id="{5CFD4CBB-99A6-4ECE-8FE3-DFA7C123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506" name="Picture 505" descr="http://www.abs.gov.au/icons/ecblank.gif">
          <a:extLst>
            <a:ext uri="{FF2B5EF4-FFF2-40B4-BE49-F238E27FC236}">
              <a16:creationId xmlns:a16="http://schemas.microsoft.com/office/drawing/2014/main" id="{6EAE9A28-68FB-417E-8DA5-4FCAEA94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507" name="Picture 506" descr="http://www.abs.gov.au/icons/ecblank.gif">
          <a:extLst>
            <a:ext uri="{FF2B5EF4-FFF2-40B4-BE49-F238E27FC236}">
              <a16:creationId xmlns:a16="http://schemas.microsoft.com/office/drawing/2014/main" id="{D2273749-6E66-4A5E-8471-1E73A327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508" name="Picture 507" descr="http://www.abs.gov.au/icons/ecblank.gif">
          <a:extLst>
            <a:ext uri="{FF2B5EF4-FFF2-40B4-BE49-F238E27FC236}">
              <a16:creationId xmlns:a16="http://schemas.microsoft.com/office/drawing/2014/main" id="{F3968CFC-BD42-4A60-ABC0-F39E9E23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509" name="Picture 508" descr="http://www.abs.gov.au/icons/ecblank.gif">
          <a:extLst>
            <a:ext uri="{FF2B5EF4-FFF2-40B4-BE49-F238E27FC236}">
              <a16:creationId xmlns:a16="http://schemas.microsoft.com/office/drawing/2014/main" id="{53B47E97-912F-453F-BC31-A7BDCA2B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510" name="Picture 509" descr="http://www.abs.gov.au/icons/ecblank.gif">
          <a:extLst>
            <a:ext uri="{FF2B5EF4-FFF2-40B4-BE49-F238E27FC236}">
              <a16:creationId xmlns:a16="http://schemas.microsoft.com/office/drawing/2014/main" id="{BF23C778-BD43-49A2-9C31-AD72E5EB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511" name="Picture 510" descr="http://www.abs.gov.au/icons/ecblank.gif">
          <a:extLst>
            <a:ext uri="{FF2B5EF4-FFF2-40B4-BE49-F238E27FC236}">
              <a16:creationId xmlns:a16="http://schemas.microsoft.com/office/drawing/2014/main" id="{4BF6C6FB-3B18-485E-8B95-2A52CBD3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512" name="Picture 511" descr="http://www.abs.gov.au/icons/ecblank.gif">
          <a:extLst>
            <a:ext uri="{FF2B5EF4-FFF2-40B4-BE49-F238E27FC236}">
              <a16:creationId xmlns:a16="http://schemas.microsoft.com/office/drawing/2014/main" id="{23581652-4D70-4E1A-B630-4FD29257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513" name="Picture 512" descr="http://www.abs.gov.au/icons/ecblank.gif">
          <a:extLst>
            <a:ext uri="{FF2B5EF4-FFF2-40B4-BE49-F238E27FC236}">
              <a16:creationId xmlns:a16="http://schemas.microsoft.com/office/drawing/2014/main" id="{29DFCEF9-022D-47D2-9A8E-540259FA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514" name="Picture 513" descr="http://www.abs.gov.au/icons/ecblank.gif">
          <a:extLst>
            <a:ext uri="{FF2B5EF4-FFF2-40B4-BE49-F238E27FC236}">
              <a16:creationId xmlns:a16="http://schemas.microsoft.com/office/drawing/2014/main" id="{31442AF4-BEFD-4546-BA64-1D41836F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515" name="Picture 514" descr="http://www.abs.gov.au/icons/ecblank.gif">
          <a:extLst>
            <a:ext uri="{FF2B5EF4-FFF2-40B4-BE49-F238E27FC236}">
              <a16:creationId xmlns:a16="http://schemas.microsoft.com/office/drawing/2014/main" id="{FF40940A-E5F5-4280-AEC8-1D1108B8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516" name="Picture 515" descr="http://www.abs.gov.au/icons/ecblank.gif">
          <a:extLst>
            <a:ext uri="{FF2B5EF4-FFF2-40B4-BE49-F238E27FC236}">
              <a16:creationId xmlns:a16="http://schemas.microsoft.com/office/drawing/2014/main" id="{D3DCCA06-B3F9-4618-86F0-07C5392E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517" name="Picture 516" descr="http://www.abs.gov.au/icons/ecblank.gif">
          <a:extLst>
            <a:ext uri="{FF2B5EF4-FFF2-40B4-BE49-F238E27FC236}">
              <a16:creationId xmlns:a16="http://schemas.microsoft.com/office/drawing/2014/main" id="{A3EEF574-B796-4F85-9C0D-1EF799C9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518" name="Picture 517" descr="http://www.abs.gov.au/icons/ecblank.gif">
          <a:extLst>
            <a:ext uri="{FF2B5EF4-FFF2-40B4-BE49-F238E27FC236}">
              <a16:creationId xmlns:a16="http://schemas.microsoft.com/office/drawing/2014/main" id="{C9B45438-7F88-4B0F-82CF-CB870246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519" name="Picture 108" descr="http://www.abs.gov.au/icons/ecblank.gif">
          <a:extLst>
            <a:ext uri="{FF2B5EF4-FFF2-40B4-BE49-F238E27FC236}">
              <a16:creationId xmlns:a16="http://schemas.microsoft.com/office/drawing/2014/main" id="{FCC2695F-0F8D-4857-A1CB-D6CDE3FF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520" name="Picture 109" descr="http://www.abs.gov.au/icons/ecblank.gif">
          <a:extLst>
            <a:ext uri="{FF2B5EF4-FFF2-40B4-BE49-F238E27FC236}">
              <a16:creationId xmlns:a16="http://schemas.microsoft.com/office/drawing/2014/main" id="{4A560759-9706-4906-AD84-7D38880A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521" name="Picture 110" descr="http://www.abs.gov.au/icons/ecblank.gif">
          <a:extLst>
            <a:ext uri="{FF2B5EF4-FFF2-40B4-BE49-F238E27FC236}">
              <a16:creationId xmlns:a16="http://schemas.microsoft.com/office/drawing/2014/main" id="{91DE38B7-914E-4AB6-A83F-EB892606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522" name="Picture 111" descr="http://www.abs.gov.au/icons/ecblank.gif">
          <a:extLst>
            <a:ext uri="{FF2B5EF4-FFF2-40B4-BE49-F238E27FC236}">
              <a16:creationId xmlns:a16="http://schemas.microsoft.com/office/drawing/2014/main" id="{5A24391E-C54C-4F96-AB2F-770CE337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523" name="Picture 522" descr="http://www.abs.gov.au/icons/ecblank.gif">
          <a:extLst>
            <a:ext uri="{FF2B5EF4-FFF2-40B4-BE49-F238E27FC236}">
              <a16:creationId xmlns:a16="http://schemas.microsoft.com/office/drawing/2014/main" id="{372961AF-28EF-4F30-95F8-C9CBC7A6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524" name="Picture 523" descr="http://www.abs.gov.au/icons/ecblank.gif">
          <a:extLst>
            <a:ext uri="{FF2B5EF4-FFF2-40B4-BE49-F238E27FC236}">
              <a16:creationId xmlns:a16="http://schemas.microsoft.com/office/drawing/2014/main" id="{3F65ECA7-7BE4-4D12-B662-5528B52C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525" name="Picture 524" descr="http://www.abs.gov.au/icons/ecblank.gif">
          <a:extLst>
            <a:ext uri="{FF2B5EF4-FFF2-40B4-BE49-F238E27FC236}">
              <a16:creationId xmlns:a16="http://schemas.microsoft.com/office/drawing/2014/main" id="{04D13D43-B12A-49FF-942E-F91EC679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526" name="Picture 525" descr="http://www.abs.gov.au/icons/ecblank.gif">
          <a:extLst>
            <a:ext uri="{FF2B5EF4-FFF2-40B4-BE49-F238E27FC236}">
              <a16:creationId xmlns:a16="http://schemas.microsoft.com/office/drawing/2014/main" id="{40C2009C-4917-4B1A-9772-2D9F799A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527" name="Picture 526" descr="http://www.abs.gov.au/icons/ecblank.gif">
          <a:extLst>
            <a:ext uri="{FF2B5EF4-FFF2-40B4-BE49-F238E27FC236}">
              <a16:creationId xmlns:a16="http://schemas.microsoft.com/office/drawing/2014/main" id="{D75E5B56-00AD-46F9-A4D6-2688DDC9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528" name="Picture 527" descr="http://www.abs.gov.au/icons/ecblank.gif">
          <a:extLst>
            <a:ext uri="{FF2B5EF4-FFF2-40B4-BE49-F238E27FC236}">
              <a16:creationId xmlns:a16="http://schemas.microsoft.com/office/drawing/2014/main" id="{D9AE0AB1-AD1D-4C78-AD8D-7D569029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529" name="Picture 528" descr="http://www.abs.gov.au/icons/ecblank.gif">
          <a:extLst>
            <a:ext uri="{FF2B5EF4-FFF2-40B4-BE49-F238E27FC236}">
              <a16:creationId xmlns:a16="http://schemas.microsoft.com/office/drawing/2014/main" id="{63E77196-2FE6-4AD7-A6B6-ADBC1381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530" name="Picture 529" descr="http://www.abs.gov.au/icons/ecblank.gif">
          <a:extLst>
            <a:ext uri="{FF2B5EF4-FFF2-40B4-BE49-F238E27FC236}">
              <a16:creationId xmlns:a16="http://schemas.microsoft.com/office/drawing/2014/main" id="{3607C027-F533-40FC-BA38-C9EBD0D4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531" name="Picture 108" descr="http://www.abs.gov.au/icons/ecblank.gif">
          <a:extLst>
            <a:ext uri="{FF2B5EF4-FFF2-40B4-BE49-F238E27FC236}">
              <a16:creationId xmlns:a16="http://schemas.microsoft.com/office/drawing/2014/main" id="{91C58A85-DB38-47D7-8F12-7C29A538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532" name="Picture 109" descr="http://www.abs.gov.au/icons/ecblank.gif">
          <a:extLst>
            <a:ext uri="{FF2B5EF4-FFF2-40B4-BE49-F238E27FC236}">
              <a16:creationId xmlns:a16="http://schemas.microsoft.com/office/drawing/2014/main" id="{BCAFF614-D539-4F76-B134-EE7C991F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533" name="Picture 110" descr="http://www.abs.gov.au/icons/ecblank.gif">
          <a:extLst>
            <a:ext uri="{FF2B5EF4-FFF2-40B4-BE49-F238E27FC236}">
              <a16:creationId xmlns:a16="http://schemas.microsoft.com/office/drawing/2014/main" id="{9A326085-E5A5-43BF-A90B-6505BAE9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534" name="Picture 111" descr="http://www.abs.gov.au/icons/ecblank.gif">
          <a:extLst>
            <a:ext uri="{FF2B5EF4-FFF2-40B4-BE49-F238E27FC236}">
              <a16:creationId xmlns:a16="http://schemas.microsoft.com/office/drawing/2014/main" id="{B39F9FA4-DC8A-4A48-ADE6-2D6C1B23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868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35" name="Picture 39" descr="http://www.abs.gov.au/icons/ecblank.gif">
          <a:extLst>
            <a:ext uri="{FF2B5EF4-FFF2-40B4-BE49-F238E27FC236}">
              <a16:creationId xmlns:a16="http://schemas.microsoft.com/office/drawing/2014/main" id="{A226D1F2-7487-413F-BFE4-BE7CAA1A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36" name="Picture 40" descr="http://www.abs.gov.au/icons/ecblank.gif">
          <a:extLst>
            <a:ext uri="{FF2B5EF4-FFF2-40B4-BE49-F238E27FC236}">
              <a16:creationId xmlns:a16="http://schemas.microsoft.com/office/drawing/2014/main" id="{535DFA25-5A2A-4642-B36D-159A3F5E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37" name="Picture 41" descr="http://www.abs.gov.au/icons/ecblank.gif">
          <a:extLst>
            <a:ext uri="{FF2B5EF4-FFF2-40B4-BE49-F238E27FC236}">
              <a16:creationId xmlns:a16="http://schemas.microsoft.com/office/drawing/2014/main" id="{36EB0000-BEA6-4539-8738-C0962839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38" name="Picture 42" descr="http://www.abs.gov.au/icons/ecblank.gif">
          <a:extLst>
            <a:ext uri="{FF2B5EF4-FFF2-40B4-BE49-F238E27FC236}">
              <a16:creationId xmlns:a16="http://schemas.microsoft.com/office/drawing/2014/main" id="{812FA623-5F7D-453C-B796-3415F851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39" name="Picture 43" descr="http://www.abs.gov.au/icons/ecblank.gif">
          <a:extLst>
            <a:ext uri="{FF2B5EF4-FFF2-40B4-BE49-F238E27FC236}">
              <a16:creationId xmlns:a16="http://schemas.microsoft.com/office/drawing/2014/main" id="{7575B73A-AE8E-4989-B3A3-2C138CA5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40" name="Picture 44" descr="http://www.abs.gov.au/icons/ecblank.gif">
          <a:extLst>
            <a:ext uri="{FF2B5EF4-FFF2-40B4-BE49-F238E27FC236}">
              <a16:creationId xmlns:a16="http://schemas.microsoft.com/office/drawing/2014/main" id="{7EC080CD-E3BE-41E3-B060-682BA599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41" name="Picture 45" descr="http://www.abs.gov.au/icons/ecblank.gif">
          <a:extLst>
            <a:ext uri="{FF2B5EF4-FFF2-40B4-BE49-F238E27FC236}">
              <a16:creationId xmlns:a16="http://schemas.microsoft.com/office/drawing/2014/main" id="{C6712546-7280-43C7-A96D-D304BFCE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42" name="Picture 46" descr="http://www.abs.gov.au/icons/ecblank.gif">
          <a:extLst>
            <a:ext uri="{FF2B5EF4-FFF2-40B4-BE49-F238E27FC236}">
              <a16:creationId xmlns:a16="http://schemas.microsoft.com/office/drawing/2014/main" id="{04EF7B05-36FA-4C1F-AC8F-C35B580D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43" name="Picture 47" descr="http://www.abs.gov.au/icons/ecblank.gif">
          <a:extLst>
            <a:ext uri="{FF2B5EF4-FFF2-40B4-BE49-F238E27FC236}">
              <a16:creationId xmlns:a16="http://schemas.microsoft.com/office/drawing/2014/main" id="{8B0A4E8A-6D35-48A2-9D8F-6132CE4E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44" name="Picture 48" descr="http://www.abs.gov.au/icons/ecblank.gif">
          <a:extLst>
            <a:ext uri="{FF2B5EF4-FFF2-40B4-BE49-F238E27FC236}">
              <a16:creationId xmlns:a16="http://schemas.microsoft.com/office/drawing/2014/main" id="{72777696-CF65-489D-BDD6-C795F03A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45" name="Picture 49" descr="http://www.abs.gov.au/icons/ecblank.gif">
          <a:extLst>
            <a:ext uri="{FF2B5EF4-FFF2-40B4-BE49-F238E27FC236}">
              <a16:creationId xmlns:a16="http://schemas.microsoft.com/office/drawing/2014/main" id="{907A04A7-5895-408C-BBBB-69215E3E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46" name="Picture 50" descr="http://www.abs.gov.au/icons/ecblank.gif">
          <a:extLst>
            <a:ext uri="{FF2B5EF4-FFF2-40B4-BE49-F238E27FC236}">
              <a16:creationId xmlns:a16="http://schemas.microsoft.com/office/drawing/2014/main" id="{7DDE8966-7025-44CA-A312-D7468FBF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47" name="Picture 51" descr="http://www.abs.gov.au/icons/ecblank.gif">
          <a:extLst>
            <a:ext uri="{FF2B5EF4-FFF2-40B4-BE49-F238E27FC236}">
              <a16:creationId xmlns:a16="http://schemas.microsoft.com/office/drawing/2014/main" id="{FEEC887B-4E95-4CAA-8426-CD3DABA8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48" name="Picture 52" descr="http://www.abs.gov.au/icons/ecblank.gif">
          <a:extLst>
            <a:ext uri="{FF2B5EF4-FFF2-40B4-BE49-F238E27FC236}">
              <a16:creationId xmlns:a16="http://schemas.microsoft.com/office/drawing/2014/main" id="{ED2B55BF-72A6-4579-8B4B-3A9247D8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49" name="Picture 53" descr="http://www.abs.gov.au/icons/ecblank.gif">
          <a:extLst>
            <a:ext uri="{FF2B5EF4-FFF2-40B4-BE49-F238E27FC236}">
              <a16:creationId xmlns:a16="http://schemas.microsoft.com/office/drawing/2014/main" id="{0EC2AC62-9596-43C3-8C4E-45287EF5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50" name="Picture 54" descr="http://www.abs.gov.au/icons/ecblank.gif">
          <a:extLst>
            <a:ext uri="{FF2B5EF4-FFF2-40B4-BE49-F238E27FC236}">
              <a16:creationId xmlns:a16="http://schemas.microsoft.com/office/drawing/2014/main" id="{D635EA6B-6F15-4D79-BD6E-C0835C0D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51" name="Picture 55" descr="http://www.abs.gov.au/icons/ecblank.gif">
          <a:extLst>
            <a:ext uri="{FF2B5EF4-FFF2-40B4-BE49-F238E27FC236}">
              <a16:creationId xmlns:a16="http://schemas.microsoft.com/office/drawing/2014/main" id="{9378C201-BBD3-4ECD-9A3C-417E7E80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52" name="Picture 56" descr="http://www.abs.gov.au/icons/ecblank.gif">
          <a:extLst>
            <a:ext uri="{FF2B5EF4-FFF2-40B4-BE49-F238E27FC236}">
              <a16:creationId xmlns:a16="http://schemas.microsoft.com/office/drawing/2014/main" id="{BC33BC21-7AC8-4234-A8AA-682BCCF4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53" name="Picture 57" descr="http://www.abs.gov.au/icons/ecblank.gif">
          <a:extLst>
            <a:ext uri="{FF2B5EF4-FFF2-40B4-BE49-F238E27FC236}">
              <a16:creationId xmlns:a16="http://schemas.microsoft.com/office/drawing/2014/main" id="{02CBB2F5-7E65-4C1A-B6F9-7A34CF1A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54" name="Picture 58" descr="http://www.abs.gov.au/icons/ecblank.gif">
          <a:extLst>
            <a:ext uri="{FF2B5EF4-FFF2-40B4-BE49-F238E27FC236}">
              <a16:creationId xmlns:a16="http://schemas.microsoft.com/office/drawing/2014/main" id="{1CC73EDB-AEF4-42FE-8678-F138A2DC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55" name="Picture 39" descr="http://www.abs.gov.au/icons/ecblank.gif">
          <a:extLst>
            <a:ext uri="{FF2B5EF4-FFF2-40B4-BE49-F238E27FC236}">
              <a16:creationId xmlns:a16="http://schemas.microsoft.com/office/drawing/2014/main" id="{94441E58-B2CF-45E6-A322-A78BBD67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56" name="Picture 40" descr="http://www.abs.gov.au/icons/ecblank.gif">
          <a:extLst>
            <a:ext uri="{FF2B5EF4-FFF2-40B4-BE49-F238E27FC236}">
              <a16:creationId xmlns:a16="http://schemas.microsoft.com/office/drawing/2014/main" id="{F5D3E291-73DA-464B-A736-80E9D70D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57" name="Picture 41" descr="http://www.abs.gov.au/icons/ecblank.gif">
          <a:extLst>
            <a:ext uri="{FF2B5EF4-FFF2-40B4-BE49-F238E27FC236}">
              <a16:creationId xmlns:a16="http://schemas.microsoft.com/office/drawing/2014/main" id="{BDDC8A57-C178-4760-AA29-12A523F5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58" name="Picture 42" descr="http://www.abs.gov.au/icons/ecblank.gif">
          <a:extLst>
            <a:ext uri="{FF2B5EF4-FFF2-40B4-BE49-F238E27FC236}">
              <a16:creationId xmlns:a16="http://schemas.microsoft.com/office/drawing/2014/main" id="{1DCFCACD-FA0B-4A56-BB1B-0826FBD9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59" name="Picture 43" descr="http://www.abs.gov.au/icons/ecblank.gif">
          <a:extLst>
            <a:ext uri="{FF2B5EF4-FFF2-40B4-BE49-F238E27FC236}">
              <a16:creationId xmlns:a16="http://schemas.microsoft.com/office/drawing/2014/main" id="{A0367F78-B081-443C-BF0B-769717B1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60" name="Picture 44" descr="http://www.abs.gov.au/icons/ecblank.gif">
          <a:extLst>
            <a:ext uri="{FF2B5EF4-FFF2-40B4-BE49-F238E27FC236}">
              <a16:creationId xmlns:a16="http://schemas.microsoft.com/office/drawing/2014/main" id="{14D23F78-F0F1-46EF-9B71-C655783D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61" name="Picture 45" descr="http://www.abs.gov.au/icons/ecblank.gif">
          <a:extLst>
            <a:ext uri="{FF2B5EF4-FFF2-40B4-BE49-F238E27FC236}">
              <a16:creationId xmlns:a16="http://schemas.microsoft.com/office/drawing/2014/main" id="{7415B9AC-4C18-4C53-BD08-3E7417C6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62" name="Picture 46" descr="http://www.abs.gov.au/icons/ecblank.gif">
          <a:extLst>
            <a:ext uri="{FF2B5EF4-FFF2-40B4-BE49-F238E27FC236}">
              <a16:creationId xmlns:a16="http://schemas.microsoft.com/office/drawing/2014/main" id="{7D091E1E-5EF3-4CA5-85DD-D6A9FB4C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63" name="Picture 47" descr="http://www.abs.gov.au/icons/ecblank.gif">
          <a:extLst>
            <a:ext uri="{FF2B5EF4-FFF2-40B4-BE49-F238E27FC236}">
              <a16:creationId xmlns:a16="http://schemas.microsoft.com/office/drawing/2014/main" id="{49ECFB7E-43B4-48E7-A65D-BD72AFC9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64" name="Picture 48" descr="http://www.abs.gov.au/icons/ecblank.gif">
          <a:extLst>
            <a:ext uri="{FF2B5EF4-FFF2-40B4-BE49-F238E27FC236}">
              <a16:creationId xmlns:a16="http://schemas.microsoft.com/office/drawing/2014/main" id="{7F8AD6AF-3C69-4A78-830B-F512EE07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65" name="Picture 49" descr="http://www.abs.gov.au/icons/ecblank.gif">
          <a:extLst>
            <a:ext uri="{FF2B5EF4-FFF2-40B4-BE49-F238E27FC236}">
              <a16:creationId xmlns:a16="http://schemas.microsoft.com/office/drawing/2014/main" id="{8D58D27F-8016-43CE-BC6E-BD6F7A63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66" name="Picture 50" descr="http://www.abs.gov.au/icons/ecblank.gif">
          <a:extLst>
            <a:ext uri="{FF2B5EF4-FFF2-40B4-BE49-F238E27FC236}">
              <a16:creationId xmlns:a16="http://schemas.microsoft.com/office/drawing/2014/main" id="{BCD0B1FC-40FF-4993-9806-741B5617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67" name="Picture 51" descr="http://www.abs.gov.au/icons/ecblank.gif">
          <a:extLst>
            <a:ext uri="{FF2B5EF4-FFF2-40B4-BE49-F238E27FC236}">
              <a16:creationId xmlns:a16="http://schemas.microsoft.com/office/drawing/2014/main" id="{A4DE76E1-D7C5-46BE-BBFF-7F9459D7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68" name="Picture 52" descr="http://www.abs.gov.au/icons/ecblank.gif">
          <a:extLst>
            <a:ext uri="{FF2B5EF4-FFF2-40B4-BE49-F238E27FC236}">
              <a16:creationId xmlns:a16="http://schemas.microsoft.com/office/drawing/2014/main" id="{B6703A35-F892-4519-AD2A-6731FB25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69" name="Picture 53" descr="http://www.abs.gov.au/icons/ecblank.gif">
          <a:extLst>
            <a:ext uri="{FF2B5EF4-FFF2-40B4-BE49-F238E27FC236}">
              <a16:creationId xmlns:a16="http://schemas.microsoft.com/office/drawing/2014/main" id="{A589B3FE-ABEE-4221-B5DB-B06AEC82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70" name="Picture 54" descr="http://www.abs.gov.au/icons/ecblank.gif">
          <a:extLst>
            <a:ext uri="{FF2B5EF4-FFF2-40B4-BE49-F238E27FC236}">
              <a16:creationId xmlns:a16="http://schemas.microsoft.com/office/drawing/2014/main" id="{A9385439-8D46-4C86-9A3F-6321275F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71" name="Picture 55" descr="http://www.abs.gov.au/icons/ecblank.gif">
          <a:extLst>
            <a:ext uri="{FF2B5EF4-FFF2-40B4-BE49-F238E27FC236}">
              <a16:creationId xmlns:a16="http://schemas.microsoft.com/office/drawing/2014/main" id="{C1F2257D-EC66-44E2-B84F-680669BA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572" name="Picture 56" descr="http://www.abs.gov.au/icons/ecblank.gif">
          <a:extLst>
            <a:ext uri="{FF2B5EF4-FFF2-40B4-BE49-F238E27FC236}">
              <a16:creationId xmlns:a16="http://schemas.microsoft.com/office/drawing/2014/main" id="{CCE2E6B9-87DD-4CF7-8E02-45E92C7D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73" name="Picture 57" descr="http://www.abs.gov.au/icons/ecblank.gif">
          <a:extLst>
            <a:ext uri="{FF2B5EF4-FFF2-40B4-BE49-F238E27FC236}">
              <a16:creationId xmlns:a16="http://schemas.microsoft.com/office/drawing/2014/main" id="{66B8AF68-2A62-4EEA-99BB-BA40052A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574" name="Picture 58" descr="http://www.abs.gov.au/icons/ecblank.gif">
          <a:extLst>
            <a:ext uri="{FF2B5EF4-FFF2-40B4-BE49-F238E27FC236}">
              <a16:creationId xmlns:a16="http://schemas.microsoft.com/office/drawing/2014/main" id="{A5C1B5F9-93DB-469F-B2A9-3B61A934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44015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75" name="Picture 574" descr="http://www.abs.gov.au/icons/ecblank.gif">
          <a:extLst>
            <a:ext uri="{FF2B5EF4-FFF2-40B4-BE49-F238E27FC236}">
              <a16:creationId xmlns:a16="http://schemas.microsoft.com/office/drawing/2014/main" id="{9B2E4828-AD94-47A7-BC02-68E453F7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76" name="Picture 575" descr="http://www.abs.gov.au/icons/ecblank.gif">
          <a:extLst>
            <a:ext uri="{FF2B5EF4-FFF2-40B4-BE49-F238E27FC236}">
              <a16:creationId xmlns:a16="http://schemas.microsoft.com/office/drawing/2014/main" id="{4E4A0C55-3908-4A5C-9AAA-4623DB68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77" name="Picture 576" descr="http://www.abs.gov.au/icons/ecblank.gif">
          <a:extLst>
            <a:ext uri="{FF2B5EF4-FFF2-40B4-BE49-F238E27FC236}">
              <a16:creationId xmlns:a16="http://schemas.microsoft.com/office/drawing/2014/main" id="{73C16052-A731-40B6-BA70-56D86A3A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78" name="Picture 577" descr="http://www.abs.gov.au/icons/ecblank.gif">
          <a:extLst>
            <a:ext uri="{FF2B5EF4-FFF2-40B4-BE49-F238E27FC236}">
              <a16:creationId xmlns:a16="http://schemas.microsoft.com/office/drawing/2014/main" id="{C1517227-7FC9-4D55-B0C0-7C00F8E7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79" name="Picture 578" descr="http://www.abs.gov.au/icons/ecblank.gif">
          <a:extLst>
            <a:ext uri="{FF2B5EF4-FFF2-40B4-BE49-F238E27FC236}">
              <a16:creationId xmlns:a16="http://schemas.microsoft.com/office/drawing/2014/main" id="{5F49CBA1-1B81-4490-A398-542BF132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80" name="Picture 579" descr="http://www.abs.gov.au/icons/ecblank.gif">
          <a:extLst>
            <a:ext uri="{FF2B5EF4-FFF2-40B4-BE49-F238E27FC236}">
              <a16:creationId xmlns:a16="http://schemas.microsoft.com/office/drawing/2014/main" id="{6EF489D6-DC30-45E0-BFCC-EC6940AE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81" name="Picture 580" descr="http://www.abs.gov.au/icons/ecblank.gif">
          <a:extLst>
            <a:ext uri="{FF2B5EF4-FFF2-40B4-BE49-F238E27FC236}">
              <a16:creationId xmlns:a16="http://schemas.microsoft.com/office/drawing/2014/main" id="{AD500611-AF1F-4660-AE0A-1BA877D7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82" name="Picture 581" descr="http://www.abs.gov.au/icons/ecblank.gif">
          <a:extLst>
            <a:ext uri="{FF2B5EF4-FFF2-40B4-BE49-F238E27FC236}">
              <a16:creationId xmlns:a16="http://schemas.microsoft.com/office/drawing/2014/main" id="{8BF08A05-F0FA-4889-BB1E-55BF153D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83" name="Picture 582" descr="http://www.abs.gov.au/icons/ecblank.gif">
          <a:extLst>
            <a:ext uri="{FF2B5EF4-FFF2-40B4-BE49-F238E27FC236}">
              <a16:creationId xmlns:a16="http://schemas.microsoft.com/office/drawing/2014/main" id="{E41FF0A7-BCB6-470E-9DD2-4683B681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1055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84" name="Picture 583" descr="http://www.abs.gov.au/icons/ecblank.gif">
          <a:extLst>
            <a:ext uri="{FF2B5EF4-FFF2-40B4-BE49-F238E27FC236}">
              <a16:creationId xmlns:a16="http://schemas.microsoft.com/office/drawing/2014/main" id="{72D5B835-C934-4AEB-A9AA-2136341C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1055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85" name="Picture 584" descr="http://www.abs.gov.au/icons/ecblank.gif">
          <a:extLst>
            <a:ext uri="{FF2B5EF4-FFF2-40B4-BE49-F238E27FC236}">
              <a16:creationId xmlns:a16="http://schemas.microsoft.com/office/drawing/2014/main" id="{807CB57A-230C-4A8A-BF85-FECF2807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10552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86" name="Picture 585" descr="http://www.abs.gov.au/icons/ecblank.gif">
          <a:extLst>
            <a:ext uri="{FF2B5EF4-FFF2-40B4-BE49-F238E27FC236}">
              <a16:creationId xmlns:a16="http://schemas.microsoft.com/office/drawing/2014/main" id="{73B3DAF3-B40E-4BF5-884D-C2C8B235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10552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87" name="Picture 108" descr="http://www.abs.gov.au/icons/ecblank.gif">
          <a:extLst>
            <a:ext uri="{FF2B5EF4-FFF2-40B4-BE49-F238E27FC236}">
              <a16:creationId xmlns:a16="http://schemas.microsoft.com/office/drawing/2014/main" id="{63FD0778-563A-4B0D-865F-ECAF475A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88" name="Picture 109" descr="http://www.abs.gov.au/icons/ecblank.gif">
          <a:extLst>
            <a:ext uri="{FF2B5EF4-FFF2-40B4-BE49-F238E27FC236}">
              <a16:creationId xmlns:a16="http://schemas.microsoft.com/office/drawing/2014/main" id="{FB87CF3E-C2F6-4A6E-B23D-5DBA75E0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89" name="Picture 110" descr="http://www.abs.gov.au/icons/ecblank.gif">
          <a:extLst>
            <a:ext uri="{FF2B5EF4-FFF2-40B4-BE49-F238E27FC236}">
              <a16:creationId xmlns:a16="http://schemas.microsoft.com/office/drawing/2014/main" id="{D6B13DB3-91F9-4B35-B2A6-666B3B12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90" name="Picture 111" descr="http://www.abs.gov.au/icons/ecblank.gif">
          <a:extLst>
            <a:ext uri="{FF2B5EF4-FFF2-40B4-BE49-F238E27FC236}">
              <a16:creationId xmlns:a16="http://schemas.microsoft.com/office/drawing/2014/main" id="{F30D31E4-2CDB-4F92-A680-7E947238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91" name="Picture 590" descr="http://www.abs.gov.au/icons/ecblank.gif">
          <a:extLst>
            <a:ext uri="{FF2B5EF4-FFF2-40B4-BE49-F238E27FC236}">
              <a16:creationId xmlns:a16="http://schemas.microsoft.com/office/drawing/2014/main" id="{31E29841-E6A4-4827-BCFB-659CA080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92" name="Picture 591" descr="http://www.abs.gov.au/icons/ecblank.gif">
          <a:extLst>
            <a:ext uri="{FF2B5EF4-FFF2-40B4-BE49-F238E27FC236}">
              <a16:creationId xmlns:a16="http://schemas.microsoft.com/office/drawing/2014/main" id="{17049BD3-2FE8-4284-9E93-3E421E24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93" name="Picture 592" descr="http://www.abs.gov.au/icons/ecblank.gif">
          <a:extLst>
            <a:ext uri="{FF2B5EF4-FFF2-40B4-BE49-F238E27FC236}">
              <a16:creationId xmlns:a16="http://schemas.microsoft.com/office/drawing/2014/main" id="{DC7820A8-DC63-402F-A173-28446BB3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94" name="Picture 593" descr="http://www.abs.gov.au/icons/ecblank.gif">
          <a:extLst>
            <a:ext uri="{FF2B5EF4-FFF2-40B4-BE49-F238E27FC236}">
              <a16:creationId xmlns:a16="http://schemas.microsoft.com/office/drawing/2014/main" id="{57F9B69B-9A24-436A-8D86-9AF13FE4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95" name="Picture 594" descr="http://www.abs.gov.au/icons/ecblank.gif">
          <a:extLst>
            <a:ext uri="{FF2B5EF4-FFF2-40B4-BE49-F238E27FC236}">
              <a16:creationId xmlns:a16="http://schemas.microsoft.com/office/drawing/2014/main" id="{B5B6ED81-A84C-4B8C-B45C-D2292B63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96" name="Picture 595" descr="http://www.abs.gov.au/icons/ecblank.gif">
          <a:extLst>
            <a:ext uri="{FF2B5EF4-FFF2-40B4-BE49-F238E27FC236}">
              <a16:creationId xmlns:a16="http://schemas.microsoft.com/office/drawing/2014/main" id="{66457CE9-299B-4C12-9DA1-A6E0AB34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97" name="Picture 596" descr="http://www.abs.gov.au/icons/ecblank.gif">
          <a:extLst>
            <a:ext uri="{FF2B5EF4-FFF2-40B4-BE49-F238E27FC236}">
              <a16:creationId xmlns:a16="http://schemas.microsoft.com/office/drawing/2014/main" id="{206635A0-9DBA-4F26-8B68-0F85DB88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98" name="Picture 597" descr="http://www.abs.gov.au/icons/ecblank.gif">
          <a:extLst>
            <a:ext uri="{FF2B5EF4-FFF2-40B4-BE49-F238E27FC236}">
              <a16:creationId xmlns:a16="http://schemas.microsoft.com/office/drawing/2014/main" id="{3E3083CB-BA68-4D40-A0D8-40DE3D57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99" name="Picture 598" descr="http://www.abs.gov.au/icons/ecblank.gif">
          <a:extLst>
            <a:ext uri="{FF2B5EF4-FFF2-40B4-BE49-F238E27FC236}">
              <a16:creationId xmlns:a16="http://schemas.microsoft.com/office/drawing/2014/main" id="{70764EFF-B9E4-4EC9-90B8-EFBD2CE4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1055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600" name="Picture 599" descr="http://www.abs.gov.au/icons/ecblank.gif">
          <a:extLst>
            <a:ext uri="{FF2B5EF4-FFF2-40B4-BE49-F238E27FC236}">
              <a16:creationId xmlns:a16="http://schemas.microsoft.com/office/drawing/2014/main" id="{8A86AEA3-91ED-41A6-BCE8-22C7C0C9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1055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601" name="Picture 600" descr="http://www.abs.gov.au/icons/ecblank.gif">
          <a:extLst>
            <a:ext uri="{FF2B5EF4-FFF2-40B4-BE49-F238E27FC236}">
              <a16:creationId xmlns:a16="http://schemas.microsoft.com/office/drawing/2014/main" id="{CB46B7A5-5BC3-4B23-93A3-CE75A34D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10552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602" name="Picture 601" descr="http://www.abs.gov.au/icons/ecblank.gif">
          <a:extLst>
            <a:ext uri="{FF2B5EF4-FFF2-40B4-BE49-F238E27FC236}">
              <a16:creationId xmlns:a16="http://schemas.microsoft.com/office/drawing/2014/main" id="{1C95DC99-6D4D-4E45-8391-3CF5E819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10552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03" name="Picture 108" descr="http://www.abs.gov.au/icons/ecblank.gif">
          <a:extLst>
            <a:ext uri="{FF2B5EF4-FFF2-40B4-BE49-F238E27FC236}">
              <a16:creationId xmlns:a16="http://schemas.microsoft.com/office/drawing/2014/main" id="{F740E8D6-1A5C-4357-9E55-2205E51D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04" name="Picture 109" descr="http://www.abs.gov.au/icons/ecblank.gif">
          <a:extLst>
            <a:ext uri="{FF2B5EF4-FFF2-40B4-BE49-F238E27FC236}">
              <a16:creationId xmlns:a16="http://schemas.microsoft.com/office/drawing/2014/main" id="{3BB4BEA0-3774-44AB-82D3-3690AF52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05" name="Picture 110" descr="http://www.abs.gov.au/icons/ecblank.gif">
          <a:extLst>
            <a:ext uri="{FF2B5EF4-FFF2-40B4-BE49-F238E27FC236}">
              <a16:creationId xmlns:a16="http://schemas.microsoft.com/office/drawing/2014/main" id="{31C35A40-25FE-4FDA-B97A-89D64CE2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06" name="Picture 111" descr="http://www.abs.gov.au/icons/ecblank.gif">
          <a:extLst>
            <a:ext uri="{FF2B5EF4-FFF2-40B4-BE49-F238E27FC236}">
              <a16:creationId xmlns:a16="http://schemas.microsoft.com/office/drawing/2014/main" id="{648DAB7C-D4EB-4CA7-8E3C-0ED3E1C4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2917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607" name="Picture 606" descr="http://www.abs.gov.au/icons/ecblank.gif">
          <a:extLst>
            <a:ext uri="{FF2B5EF4-FFF2-40B4-BE49-F238E27FC236}">
              <a16:creationId xmlns:a16="http://schemas.microsoft.com/office/drawing/2014/main" id="{756CEF42-F399-4C2E-B990-A7EE0AA2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914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608" name="Picture 607" descr="http://www.abs.gov.au/icons/ecblank.gif">
          <a:extLst>
            <a:ext uri="{FF2B5EF4-FFF2-40B4-BE49-F238E27FC236}">
              <a16:creationId xmlns:a16="http://schemas.microsoft.com/office/drawing/2014/main" id="{9B53B186-AB05-4053-AF12-AC15580A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914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609" name="Picture 608" descr="http://www.abs.gov.au/icons/ecblank.gif">
          <a:extLst>
            <a:ext uri="{FF2B5EF4-FFF2-40B4-BE49-F238E27FC236}">
              <a16:creationId xmlns:a16="http://schemas.microsoft.com/office/drawing/2014/main" id="{39054E59-ECA0-4A6E-9CEF-82DA70CD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914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610" name="Picture 609" descr="http://www.abs.gov.au/icons/ecblank.gif">
          <a:extLst>
            <a:ext uri="{FF2B5EF4-FFF2-40B4-BE49-F238E27FC236}">
              <a16:creationId xmlns:a16="http://schemas.microsoft.com/office/drawing/2014/main" id="{C60D6319-CF1A-4B55-8BF7-54D6E8F6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914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611" name="Picture 610" descr="http://www.abs.gov.au/icons/ecblank.gif">
          <a:extLst>
            <a:ext uri="{FF2B5EF4-FFF2-40B4-BE49-F238E27FC236}">
              <a16:creationId xmlns:a16="http://schemas.microsoft.com/office/drawing/2014/main" id="{13B95922-80BB-46B6-8D0F-7E6D04BD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914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612" name="Picture 611" descr="http://www.abs.gov.au/icons/ecblank.gif">
          <a:extLst>
            <a:ext uri="{FF2B5EF4-FFF2-40B4-BE49-F238E27FC236}">
              <a16:creationId xmlns:a16="http://schemas.microsoft.com/office/drawing/2014/main" id="{F7B5B668-DB2B-4913-AC24-DD2A1BF1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914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613" name="Picture 612" descr="http://www.abs.gov.au/icons/ecblank.gif">
          <a:extLst>
            <a:ext uri="{FF2B5EF4-FFF2-40B4-BE49-F238E27FC236}">
              <a16:creationId xmlns:a16="http://schemas.microsoft.com/office/drawing/2014/main" id="{53E0E466-4479-474A-9AB9-4B2006C3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914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614" name="Picture 613" descr="http://www.abs.gov.au/icons/ecblank.gif">
          <a:extLst>
            <a:ext uri="{FF2B5EF4-FFF2-40B4-BE49-F238E27FC236}">
              <a16:creationId xmlns:a16="http://schemas.microsoft.com/office/drawing/2014/main" id="{AD153E80-857F-4D65-9CB3-3DC5007E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3914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615" name="Picture 614" descr="http://www.abs.gov.au/icons/ecblank.gif">
          <a:extLst>
            <a:ext uri="{FF2B5EF4-FFF2-40B4-BE49-F238E27FC236}">
              <a16:creationId xmlns:a16="http://schemas.microsoft.com/office/drawing/2014/main" id="{14EBC22E-15C2-48E1-9067-C78B5E6D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38700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616" name="Picture 615" descr="http://www.abs.gov.au/icons/ecblank.gif">
          <a:extLst>
            <a:ext uri="{FF2B5EF4-FFF2-40B4-BE49-F238E27FC236}">
              <a16:creationId xmlns:a16="http://schemas.microsoft.com/office/drawing/2014/main" id="{CC886E0F-9964-400B-8B60-234A615E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38700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617" name="Picture 616" descr="http://www.abs.gov.au/icons/ecblank.gif">
          <a:extLst>
            <a:ext uri="{FF2B5EF4-FFF2-40B4-BE49-F238E27FC236}">
              <a16:creationId xmlns:a16="http://schemas.microsoft.com/office/drawing/2014/main" id="{DD5EF181-45AE-4DEA-A03D-731BE80A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38700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618" name="Picture 617" descr="http://www.abs.gov.au/icons/ecblank.gif">
          <a:extLst>
            <a:ext uri="{FF2B5EF4-FFF2-40B4-BE49-F238E27FC236}">
              <a16:creationId xmlns:a16="http://schemas.microsoft.com/office/drawing/2014/main" id="{2554E4FD-4947-487E-A5F8-D1955F99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38700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76</xdr:row>
      <xdr:rowOff>171450</xdr:rowOff>
    </xdr:from>
    <xdr:to>
      <xdr:col>6</xdr:col>
      <xdr:colOff>9525</xdr:colOff>
      <xdr:row>76</xdr:row>
      <xdr:rowOff>180975</xdr:rowOff>
    </xdr:to>
    <xdr:pic>
      <xdr:nvPicPr>
        <xdr:cNvPr id="619" name="Picture 618" descr="http://www.abs.gov.au/icons/ecblank.gif">
          <a:extLst>
            <a:ext uri="{FF2B5EF4-FFF2-40B4-BE49-F238E27FC236}">
              <a16:creationId xmlns:a16="http://schemas.microsoft.com/office/drawing/2014/main" id="{CEB344A3-8AE6-4CD7-BF22-E8D39AA6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838700" y="15440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79</xdr:row>
      <xdr:rowOff>171450</xdr:rowOff>
    </xdr:from>
    <xdr:to>
      <xdr:col>7</xdr:col>
      <xdr:colOff>9525</xdr:colOff>
      <xdr:row>79</xdr:row>
      <xdr:rowOff>180975</xdr:rowOff>
    </xdr:to>
    <xdr:pic>
      <xdr:nvPicPr>
        <xdr:cNvPr id="620" name="Picture 619" descr="http://www.abs.gov.au/icons/ecblank.gif">
          <a:extLst>
            <a:ext uri="{FF2B5EF4-FFF2-40B4-BE49-F238E27FC236}">
              <a16:creationId xmlns:a16="http://schemas.microsoft.com/office/drawing/2014/main" id="{DB64F701-48BF-49B7-8F72-05FF0A7F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34025" y="16011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621" name="Picture 620" descr="http://www.abs.gov.au/icons/ecblank.gif">
          <a:extLst>
            <a:ext uri="{FF2B5EF4-FFF2-40B4-BE49-F238E27FC236}">
              <a16:creationId xmlns:a16="http://schemas.microsoft.com/office/drawing/2014/main" id="{FF9216EC-13CB-400F-8853-56600901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622" name="Picture 621" descr="http://www.abs.gov.au/icons/ecblank.gif">
          <a:extLst>
            <a:ext uri="{FF2B5EF4-FFF2-40B4-BE49-F238E27FC236}">
              <a16:creationId xmlns:a16="http://schemas.microsoft.com/office/drawing/2014/main" id="{B3E1D8E3-06EA-41F2-98A7-CAD2DD8A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623" name="Picture 622" descr="http://www.abs.gov.au/icons/ecblank.gif">
          <a:extLst>
            <a:ext uri="{FF2B5EF4-FFF2-40B4-BE49-F238E27FC236}">
              <a16:creationId xmlns:a16="http://schemas.microsoft.com/office/drawing/2014/main" id="{217FE68E-E5A4-47FE-9A3A-41D6D6C8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624" name="Picture 623" descr="http://www.abs.gov.au/icons/ecblank.gif">
          <a:extLst>
            <a:ext uri="{FF2B5EF4-FFF2-40B4-BE49-F238E27FC236}">
              <a16:creationId xmlns:a16="http://schemas.microsoft.com/office/drawing/2014/main" id="{B7593088-33C7-47D9-878F-A9D81CD1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625" name="Picture 624" descr="http://www.abs.gov.au/icons/ecblank.gif">
          <a:extLst>
            <a:ext uri="{FF2B5EF4-FFF2-40B4-BE49-F238E27FC236}">
              <a16:creationId xmlns:a16="http://schemas.microsoft.com/office/drawing/2014/main" id="{38F899D3-5729-432D-915D-A3E97E3F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626" name="Picture 625" descr="http://www.abs.gov.au/icons/ecblank.gif">
          <a:extLst>
            <a:ext uri="{FF2B5EF4-FFF2-40B4-BE49-F238E27FC236}">
              <a16:creationId xmlns:a16="http://schemas.microsoft.com/office/drawing/2014/main" id="{F1DB62F5-DDCD-4F55-8BC5-00DA1C8D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627" name="Picture 626" descr="http://www.abs.gov.au/icons/ecblank.gif">
          <a:extLst>
            <a:ext uri="{FF2B5EF4-FFF2-40B4-BE49-F238E27FC236}">
              <a16:creationId xmlns:a16="http://schemas.microsoft.com/office/drawing/2014/main" id="{C19D3229-4A54-4C08-949E-180D3E8F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628" name="Picture 627" descr="http://www.abs.gov.au/icons/ecblank.gif">
          <a:extLst>
            <a:ext uri="{FF2B5EF4-FFF2-40B4-BE49-F238E27FC236}">
              <a16:creationId xmlns:a16="http://schemas.microsoft.com/office/drawing/2014/main" id="{B251B6CE-DACC-4A82-AD8D-D1AE98E3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0</xdr:colOff>
      <xdr:row>83</xdr:row>
      <xdr:rowOff>9525</xdr:rowOff>
    </xdr:to>
    <xdr:pic>
      <xdr:nvPicPr>
        <xdr:cNvPr id="629" name="Picture 628" descr="http://www.abs.gov.au/icons/ecblank.gif">
          <a:extLst>
            <a:ext uri="{FF2B5EF4-FFF2-40B4-BE49-F238E27FC236}">
              <a16:creationId xmlns:a16="http://schemas.microsoft.com/office/drawing/2014/main" id="{D674D46C-CF04-488F-ABE6-B484D1FB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6602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0</xdr:colOff>
      <xdr:row>83</xdr:row>
      <xdr:rowOff>9525</xdr:rowOff>
    </xdr:to>
    <xdr:pic>
      <xdr:nvPicPr>
        <xdr:cNvPr id="630" name="Picture 629" descr="http://www.abs.gov.au/icons/ecblank.gif">
          <a:extLst>
            <a:ext uri="{FF2B5EF4-FFF2-40B4-BE49-F238E27FC236}">
              <a16:creationId xmlns:a16="http://schemas.microsoft.com/office/drawing/2014/main" id="{3E938FD5-B849-4761-89D5-044527B2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6602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9</xdr:col>
      <xdr:colOff>0</xdr:colOff>
      <xdr:row>99</xdr:row>
      <xdr:rowOff>9525</xdr:rowOff>
    </xdr:to>
    <xdr:pic>
      <xdr:nvPicPr>
        <xdr:cNvPr id="631" name="Picture 630" descr="http://www.abs.gov.au/icons/ecblank.gif">
          <a:extLst>
            <a:ext uri="{FF2B5EF4-FFF2-40B4-BE49-F238E27FC236}">
              <a16:creationId xmlns:a16="http://schemas.microsoft.com/office/drawing/2014/main" id="{9DE43EC2-7E28-4275-B66D-B8938487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965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9</xdr:col>
      <xdr:colOff>0</xdr:colOff>
      <xdr:row>99</xdr:row>
      <xdr:rowOff>9525</xdr:rowOff>
    </xdr:to>
    <xdr:pic>
      <xdr:nvPicPr>
        <xdr:cNvPr id="632" name="Picture 631" descr="http://www.abs.gov.au/icons/ecblank.gif">
          <a:extLst>
            <a:ext uri="{FF2B5EF4-FFF2-40B4-BE49-F238E27FC236}">
              <a16:creationId xmlns:a16="http://schemas.microsoft.com/office/drawing/2014/main" id="{609B7459-ADB8-44E4-A50E-84F16DA6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965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633" name="Picture 108" descr="http://www.abs.gov.au/icons/ecblank.gif">
          <a:extLst>
            <a:ext uri="{FF2B5EF4-FFF2-40B4-BE49-F238E27FC236}">
              <a16:creationId xmlns:a16="http://schemas.microsoft.com/office/drawing/2014/main" id="{03A37FC6-AEFD-4B8D-87E1-56F3A2BB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9525</xdr:rowOff>
    </xdr:to>
    <xdr:pic>
      <xdr:nvPicPr>
        <xdr:cNvPr id="634" name="Picture 109" descr="http://www.abs.gov.au/icons/ecblank.gif">
          <a:extLst>
            <a:ext uri="{FF2B5EF4-FFF2-40B4-BE49-F238E27FC236}">
              <a16:creationId xmlns:a16="http://schemas.microsoft.com/office/drawing/2014/main" id="{7991C394-6A46-48F0-8984-B69121B4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635" name="Picture 110" descr="http://www.abs.gov.au/icons/ecblank.gif">
          <a:extLst>
            <a:ext uri="{FF2B5EF4-FFF2-40B4-BE49-F238E27FC236}">
              <a16:creationId xmlns:a16="http://schemas.microsoft.com/office/drawing/2014/main" id="{C390DEC3-2FD3-4A81-83D1-6AC606A2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9525</xdr:rowOff>
    </xdr:to>
    <xdr:pic>
      <xdr:nvPicPr>
        <xdr:cNvPr id="636" name="Picture 111" descr="http://www.abs.gov.au/icons/ecblank.gif">
          <a:extLst>
            <a:ext uri="{FF2B5EF4-FFF2-40B4-BE49-F238E27FC236}">
              <a16:creationId xmlns:a16="http://schemas.microsoft.com/office/drawing/2014/main" id="{ED812895-AC86-4C9A-AB60-0C5C8DB4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637" name="Picture 636" descr="http://www.abs.gov.au/icons/ecblank.gif">
          <a:extLst>
            <a:ext uri="{FF2B5EF4-FFF2-40B4-BE49-F238E27FC236}">
              <a16:creationId xmlns:a16="http://schemas.microsoft.com/office/drawing/2014/main" id="{3964E459-A27B-43D3-911E-C4A6F645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638" name="Picture 637" descr="http://www.abs.gov.au/icons/ecblank.gif">
          <a:extLst>
            <a:ext uri="{FF2B5EF4-FFF2-40B4-BE49-F238E27FC236}">
              <a16:creationId xmlns:a16="http://schemas.microsoft.com/office/drawing/2014/main" id="{C494D08B-1758-4ECA-9AAC-30261FDB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639" name="Picture 638" descr="http://www.abs.gov.au/icons/ecblank.gif">
          <a:extLst>
            <a:ext uri="{FF2B5EF4-FFF2-40B4-BE49-F238E27FC236}">
              <a16:creationId xmlns:a16="http://schemas.microsoft.com/office/drawing/2014/main" id="{98D138EE-533C-4D36-AC4C-4926532F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640" name="Picture 639" descr="http://www.abs.gov.au/icons/ecblank.gif">
          <a:extLst>
            <a:ext uri="{FF2B5EF4-FFF2-40B4-BE49-F238E27FC236}">
              <a16:creationId xmlns:a16="http://schemas.microsoft.com/office/drawing/2014/main" id="{7A7BC071-4AEA-451B-A7A4-4C920723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641" name="Picture 640" descr="http://www.abs.gov.au/icons/ecblank.gif">
          <a:extLst>
            <a:ext uri="{FF2B5EF4-FFF2-40B4-BE49-F238E27FC236}">
              <a16:creationId xmlns:a16="http://schemas.microsoft.com/office/drawing/2014/main" id="{75DFFE99-FE86-48EB-9867-43C0973A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642" name="Picture 641" descr="http://www.abs.gov.au/icons/ecblank.gif">
          <a:extLst>
            <a:ext uri="{FF2B5EF4-FFF2-40B4-BE49-F238E27FC236}">
              <a16:creationId xmlns:a16="http://schemas.microsoft.com/office/drawing/2014/main" id="{ACFAB44F-0C3A-4762-B46C-33F8A44B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643" name="Picture 642" descr="http://www.abs.gov.au/icons/ecblank.gif">
          <a:extLst>
            <a:ext uri="{FF2B5EF4-FFF2-40B4-BE49-F238E27FC236}">
              <a16:creationId xmlns:a16="http://schemas.microsoft.com/office/drawing/2014/main" id="{68B8DCA3-7982-41C4-894F-AFFAAE48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644" name="Picture 643" descr="http://www.abs.gov.au/icons/ecblank.gif">
          <a:extLst>
            <a:ext uri="{FF2B5EF4-FFF2-40B4-BE49-F238E27FC236}">
              <a16:creationId xmlns:a16="http://schemas.microsoft.com/office/drawing/2014/main" id="{FBB355F6-BBC8-49C4-B019-FFCED810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645" name="Picture 644" descr="http://www.abs.gov.au/icons/ecblank.gif">
          <a:extLst>
            <a:ext uri="{FF2B5EF4-FFF2-40B4-BE49-F238E27FC236}">
              <a16:creationId xmlns:a16="http://schemas.microsoft.com/office/drawing/2014/main" id="{A9A6458E-DE3E-427B-A8EC-11240A57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646" name="Picture 645" descr="http://www.abs.gov.au/icons/ecblank.gif">
          <a:extLst>
            <a:ext uri="{FF2B5EF4-FFF2-40B4-BE49-F238E27FC236}">
              <a16:creationId xmlns:a16="http://schemas.microsoft.com/office/drawing/2014/main" id="{E83E3704-5016-4146-99B5-C2E7FCE0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647" name="Picture 646" descr="http://www.abs.gov.au/icons/ecblank.gif">
          <a:extLst>
            <a:ext uri="{FF2B5EF4-FFF2-40B4-BE49-F238E27FC236}">
              <a16:creationId xmlns:a16="http://schemas.microsoft.com/office/drawing/2014/main" id="{A75CDE6E-F548-4169-BB4B-59CB6275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648" name="Picture 647" descr="http://www.abs.gov.au/icons/ecblank.gif">
          <a:extLst>
            <a:ext uri="{FF2B5EF4-FFF2-40B4-BE49-F238E27FC236}">
              <a16:creationId xmlns:a16="http://schemas.microsoft.com/office/drawing/2014/main" id="{35F739D5-1164-4A2D-AE83-D58E9A62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649" name="Picture 108" descr="http://www.abs.gov.au/icons/ecblank.gif">
          <a:extLst>
            <a:ext uri="{FF2B5EF4-FFF2-40B4-BE49-F238E27FC236}">
              <a16:creationId xmlns:a16="http://schemas.microsoft.com/office/drawing/2014/main" id="{58F957DD-A4D0-42F7-BF7E-89501C8B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9525</xdr:rowOff>
    </xdr:to>
    <xdr:pic>
      <xdr:nvPicPr>
        <xdr:cNvPr id="650" name="Picture 109" descr="http://www.abs.gov.au/icons/ecblank.gif">
          <a:extLst>
            <a:ext uri="{FF2B5EF4-FFF2-40B4-BE49-F238E27FC236}">
              <a16:creationId xmlns:a16="http://schemas.microsoft.com/office/drawing/2014/main" id="{5A6CE5CB-333C-4021-A9E4-9B18937A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651" name="Picture 110" descr="http://www.abs.gov.au/icons/ecblank.gif">
          <a:extLst>
            <a:ext uri="{FF2B5EF4-FFF2-40B4-BE49-F238E27FC236}">
              <a16:creationId xmlns:a16="http://schemas.microsoft.com/office/drawing/2014/main" id="{FD2D759F-47AE-41AC-8DBC-BDA8357E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9525</xdr:rowOff>
    </xdr:to>
    <xdr:pic>
      <xdr:nvPicPr>
        <xdr:cNvPr id="652" name="Picture 111" descr="http://www.abs.gov.au/icons/ecblank.gif">
          <a:extLst>
            <a:ext uri="{FF2B5EF4-FFF2-40B4-BE49-F238E27FC236}">
              <a16:creationId xmlns:a16="http://schemas.microsoft.com/office/drawing/2014/main" id="{9EFA7602-D60B-4218-B5BA-5DC303AE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653" name="Picture 652" descr="http://www.abs.gov.au/icons/ecblank.gif">
          <a:extLst>
            <a:ext uri="{FF2B5EF4-FFF2-40B4-BE49-F238E27FC236}">
              <a16:creationId xmlns:a16="http://schemas.microsoft.com/office/drawing/2014/main" id="{286D919A-4DF1-41AA-BFCB-3E3F17A0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654" name="Picture 653" descr="http://www.abs.gov.au/icons/ecblank.gif">
          <a:extLst>
            <a:ext uri="{FF2B5EF4-FFF2-40B4-BE49-F238E27FC236}">
              <a16:creationId xmlns:a16="http://schemas.microsoft.com/office/drawing/2014/main" id="{42A80FD6-7C96-4649-A0F6-200FCCD6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655" name="Picture 654" descr="http://www.abs.gov.au/icons/ecblank.gif">
          <a:extLst>
            <a:ext uri="{FF2B5EF4-FFF2-40B4-BE49-F238E27FC236}">
              <a16:creationId xmlns:a16="http://schemas.microsoft.com/office/drawing/2014/main" id="{403D7776-85FB-4784-B48E-F5B6D1F0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656" name="Picture 655" descr="http://www.abs.gov.au/icons/ecblank.gif">
          <a:extLst>
            <a:ext uri="{FF2B5EF4-FFF2-40B4-BE49-F238E27FC236}">
              <a16:creationId xmlns:a16="http://schemas.microsoft.com/office/drawing/2014/main" id="{31BE1E1C-C339-4355-BE6C-36493581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657" name="Picture 656" descr="http://www.abs.gov.au/icons/ecblank.gif">
          <a:extLst>
            <a:ext uri="{FF2B5EF4-FFF2-40B4-BE49-F238E27FC236}">
              <a16:creationId xmlns:a16="http://schemas.microsoft.com/office/drawing/2014/main" id="{2FA753B4-F08C-47CE-B291-1F3E0671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658" name="Picture 657" descr="http://www.abs.gov.au/icons/ecblank.gif">
          <a:extLst>
            <a:ext uri="{FF2B5EF4-FFF2-40B4-BE49-F238E27FC236}">
              <a16:creationId xmlns:a16="http://schemas.microsoft.com/office/drawing/2014/main" id="{B034623D-5F8D-4CEE-A2E1-265DFC5E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659" name="Picture 658" descr="http://www.abs.gov.au/icons/ecblank.gif">
          <a:extLst>
            <a:ext uri="{FF2B5EF4-FFF2-40B4-BE49-F238E27FC236}">
              <a16:creationId xmlns:a16="http://schemas.microsoft.com/office/drawing/2014/main" id="{34D02EB5-D7AE-4DA8-B1FF-F6F2287E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660" name="Picture 659" descr="http://www.abs.gov.au/icons/ecblank.gif">
          <a:extLst>
            <a:ext uri="{FF2B5EF4-FFF2-40B4-BE49-F238E27FC236}">
              <a16:creationId xmlns:a16="http://schemas.microsoft.com/office/drawing/2014/main" id="{A1F8D547-1CC4-4EF7-B7B8-C7C42FC5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661" name="Picture 660" descr="http://www.abs.gov.au/icons/ecblank.gif">
          <a:extLst>
            <a:ext uri="{FF2B5EF4-FFF2-40B4-BE49-F238E27FC236}">
              <a16:creationId xmlns:a16="http://schemas.microsoft.com/office/drawing/2014/main" id="{1D726649-2846-4CC3-85A6-4BCC0247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662" name="Picture 661" descr="http://www.abs.gov.au/icons/ecblank.gif">
          <a:extLst>
            <a:ext uri="{FF2B5EF4-FFF2-40B4-BE49-F238E27FC236}">
              <a16:creationId xmlns:a16="http://schemas.microsoft.com/office/drawing/2014/main" id="{081DBA11-93A9-42F4-B790-9E82033F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663" name="Picture 662" descr="http://www.abs.gov.au/icons/ecblank.gif">
          <a:extLst>
            <a:ext uri="{FF2B5EF4-FFF2-40B4-BE49-F238E27FC236}">
              <a16:creationId xmlns:a16="http://schemas.microsoft.com/office/drawing/2014/main" id="{F1BBB44B-DD31-4FAE-9497-3770D5FC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664" name="Picture 663" descr="http://www.abs.gov.au/icons/ecblank.gif">
          <a:extLst>
            <a:ext uri="{FF2B5EF4-FFF2-40B4-BE49-F238E27FC236}">
              <a16:creationId xmlns:a16="http://schemas.microsoft.com/office/drawing/2014/main" id="{5D3CFB5A-4FB5-43F3-80BE-F124B626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2450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665" name="Picture 108" descr="http://www.abs.gov.au/icons/ecblank.gif">
          <a:extLst>
            <a:ext uri="{FF2B5EF4-FFF2-40B4-BE49-F238E27FC236}">
              <a16:creationId xmlns:a16="http://schemas.microsoft.com/office/drawing/2014/main" id="{89A33F68-4F3B-45F6-9E75-8F7CA840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pic>
      <xdr:nvPicPr>
        <xdr:cNvPr id="666" name="Picture 109" descr="http://www.abs.gov.au/icons/ecblank.gif">
          <a:extLst>
            <a:ext uri="{FF2B5EF4-FFF2-40B4-BE49-F238E27FC236}">
              <a16:creationId xmlns:a16="http://schemas.microsoft.com/office/drawing/2014/main" id="{E27F40DC-485F-4CFD-BF5C-3B6DD6FC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667" name="Picture 110" descr="http://www.abs.gov.au/icons/ecblank.gif">
          <a:extLst>
            <a:ext uri="{FF2B5EF4-FFF2-40B4-BE49-F238E27FC236}">
              <a16:creationId xmlns:a16="http://schemas.microsoft.com/office/drawing/2014/main" id="{25EB50AB-C898-4CA1-B1FB-EE617CE8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9525</xdr:rowOff>
    </xdr:to>
    <xdr:pic>
      <xdr:nvPicPr>
        <xdr:cNvPr id="668" name="Picture 111" descr="http://www.abs.gov.au/icons/ecblank.gif">
          <a:extLst>
            <a:ext uri="{FF2B5EF4-FFF2-40B4-BE49-F238E27FC236}">
              <a16:creationId xmlns:a16="http://schemas.microsoft.com/office/drawing/2014/main" id="{7C40D416-BE83-4AAF-A29C-6E6AA8F9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00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669" name="Picture 668" descr="http://www.abs.gov.au/icons/ecblank.gif">
          <a:extLst>
            <a:ext uri="{FF2B5EF4-FFF2-40B4-BE49-F238E27FC236}">
              <a16:creationId xmlns:a16="http://schemas.microsoft.com/office/drawing/2014/main" id="{55225DD7-9C32-45C1-B776-198EBDC5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670" name="Picture 669" descr="http://www.abs.gov.au/icons/ecblank.gif">
          <a:extLst>
            <a:ext uri="{FF2B5EF4-FFF2-40B4-BE49-F238E27FC236}">
              <a16:creationId xmlns:a16="http://schemas.microsoft.com/office/drawing/2014/main" id="{575047C0-D9D6-4B8B-9C74-EB804B55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671" name="Picture 670" descr="http://www.abs.gov.au/icons/ecblank.gif">
          <a:extLst>
            <a:ext uri="{FF2B5EF4-FFF2-40B4-BE49-F238E27FC236}">
              <a16:creationId xmlns:a16="http://schemas.microsoft.com/office/drawing/2014/main" id="{24854D36-4CB5-4BE9-A4C9-A2D6AC40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672" name="Picture 671" descr="http://www.abs.gov.au/icons/ecblank.gif">
          <a:extLst>
            <a:ext uri="{FF2B5EF4-FFF2-40B4-BE49-F238E27FC236}">
              <a16:creationId xmlns:a16="http://schemas.microsoft.com/office/drawing/2014/main" id="{9C885C78-3C0D-4365-8EF8-4A7E2359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673" name="Picture 672" descr="http://www.abs.gov.au/icons/ecblank.gif">
          <a:extLst>
            <a:ext uri="{FF2B5EF4-FFF2-40B4-BE49-F238E27FC236}">
              <a16:creationId xmlns:a16="http://schemas.microsoft.com/office/drawing/2014/main" id="{6C896967-28C0-4BB5-89F9-600CC3CE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9525</xdr:rowOff>
    </xdr:to>
    <xdr:pic>
      <xdr:nvPicPr>
        <xdr:cNvPr id="674" name="Picture 673" descr="http://www.abs.gov.au/icons/ecblank.gif">
          <a:extLst>
            <a:ext uri="{FF2B5EF4-FFF2-40B4-BE49-F238E27FC236}">
              <a16:creationId xmlns:a16="http://schemas.microsoft.com/office/drawing/2014/main" id="{968BCACA-435D-4A6F-8003-5A144831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675" name="Picture 674" descr="http://www.abs.gov.au/icons/ecblank.gif">
          <a:extLst>
            <a:ext uri="{FF2B5EF4-FFF2-40B4-BE49-F238E27FC236}">
              <a16:creationId xmlns:a16="http://schemas.microsoft.com/office/drawing/2014/main" id="{BFB19D4D-026D-4443-86CD-27AEFA7F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0</xdr:colOff>
      <xdr:row>97</xdr:row>
      <xdr:rowOff>9525</xdr:rowOff>
    </xdr:to>
    <xdr:pic>
      <xdr:nvPicPr>
        <xdr:cNvPr id="676" name="Picture 675" descr="http://www.abs.gov.au/icons/ecblank.gif">
          <a:extLst>
            <a:ext uri="{FF2B5EF4-FFF2-40B4-BE49-F238E27FC236}">
              <a16:creationId xmlns:a16="http://schemas.microsoft.com/office/drawing/2014/main" id="{0C9D45E6-66C2-4B86-8468-5ADD58CB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6198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677" name="Picture 676" descr="http://www.abs.gov.au/icons/ecblank.gif">
          <a:extLst>
            <a:ext uri="{FF2B5EF4-FFF2-40B4-BE49-F238E27FC236}">
              <a16:creationId xmlns:a16="http://schemas.microsoft.com/office/drawing/2014/main" id="{C0873310-E89F-418F-A059-7E142BA5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678" name="Picture 677" descr="http://www.abs.gov.au/icons/ecblank.gif">
          <a:extLst>
            <a:ext uri="{FF2B5EF4-FFF2-40B4-BE49-F238E27FC236}">
              <a16:creationId xmlns:a16="http://schemas.microsoft.com/office/drawing/2014/main" id="{3EACC869-1F6D-4D12-BC18-3D6681DC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679" name="Picture 678" descr="http://www.abs.gov.au/icons/ecblank.gif">
          <a:extLst>
            <a:ext uri="{FF2B5EF4-FFF2-40B4-BE49-F238E27FC236}">
              <a16:creationId xmlns:a16="http://schemas.microsoft.com/office/drawing/2014/main" id="{7A2B8194-AF90-4AA2-9C5D-8D08E37A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680" name="Picture 679" descr="http://www.abs.gov.au/icons/ecblank.gif">
          <a:extLst>
            <a:ext uri="{FF2B5EF4-FFF2-40B4-BE49-F238E27FC236}">
              <a16:creationId xmlns:a16="http://schemas.microsoft.com/office/drawing/2014/main" id="{820A1FC6-7AC3-4E5E-9144-B1470D31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77</xdr:row>
      <xdr:rowOff>171450</xdr:rowOff>
    </xdr:from>
    <xdr:to>
      <xdr:col>5</xdr:col>
      <xdr:colOff>9525</xdr:colOff>
      <xdr:row>77</xdr:row>
      <xdr:rowOff>180975</xdr:rowOff>
    </xdr:to>
    <xdr:pic>
      <xdr:nvPicPr>
        <xdr:cNvPr id="681" name="Picture 680" descr="http://www.abs.gov.au/icons/ecblank.gif">
          <a:extLst>
            <a:ext uri="{FF2B5EF4-FFF2-40B4-BE49-F238E27FC236}">
              <a16:creationId xmlns:a16="http://schemas.microsoft.com/office/drawing/2014/main" id="{525B9890-ED0F-4EAF-9B6B-07889586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15630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9525</xdr:colOff>
      <xdr:row>80</xdr:row>
      <xdr:rowOff>9525</xdr:rowOff>
    </xdr:to>
    <xdr:pic>
      <xdr:nvPicPr>
        <xdr:cNvPr id="682" name="Picture 681" descr="http://www.abs.gov.au/icons/ecblank.gif">
          <a:extLst>
            <a:ext uri="{FF2B5EF4-FFF2-40B4-BE49-F238E27FC236}">
              <a16:creationId xmlns:a16="http://schemas.microsoft.com/office/drawing/2014/main" id="{60D70508-F308-4A47-A95A-448D28D8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48900" y="1603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9525</xdr:colOff>
      <xdr:row>80</xdr:row>
      <xdr:rowOff>9525</xdr:rowOff>
    </xdr:to>
    <xdr:pic>
      <xdr:nvPicPr>
        <xdr:cNvPr id="683" name="Picture 682" descr="http://www.abs.gov.au/icons/ecblank.gif">
          <a:extLst>
            <a:ext uri="{FF2B5EF4-FFF2-40B4-BE49-F238E27FC236}">
              <a16:creationId xmlns:a16="http://schemas.microsoft.com/office/drawing/2014/main" id="{3CB4FA5D-B350-41EE-BC93-834BDE09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48900" y="1603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9525</xdr:colOff>
      <xdr:row>96</xdr:row>
      <xdr:rowOff>9525</xdr:rowOff>
    </xdr:to>
    <xdr:pic>
      <xdr:nvPicPr>
        <xdr:cNvPr id="684" name="Picture 683" descr="http://www.abs.gov.au/icons/ecblank.gif">
          <a:extLst>
            <a:ext uri="{FF2B5EF4-FFF2-40B4-BE49-F238E27FC236}">
              <a16:creationId xmlns:a16="http://schemas.microsoft.com/office/drawing/2014/main" id="{16CB6625-0FFF-4DC8-8D1F-59A19E14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48900" y="1907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9525</xdr:colOff>
      <xdr:row>96</xdr:row>
      <xdr:rowOff>9525</xdr:rowOff>
    </xdr:to>
    <xdr:pic>
      <xdr:nvPicPr>
        <xdr:cNvPr id="685" name="Picture 684" descr="http://www.abs.gov.au/icons/ecblank.gif">
          <a:extLst>
            <a:ext uri="{FF2B5EF4-FFF2-40B4-BE49-F238E27FC236}">
              <a16:creationId xmlns:a16="http://schemas.microsoft.com/office/drawing/2014/main" id="{95701EAE-594C-4D19-BF5B-5FEC76B6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48900" y="1907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686" name="Picture 685" descr="http://www.abs.gov.au/icons/ecblank.gif">
          <a:extLst>
            <a:ext uri="{FF2B5EF4-FFF2-40B4-BE49-F238E27FC236}">
              <a16:creationId xmlns:a16="http://schemas.microsoft.com/office/drawing/2014/main" id="{B2618CF5-4860-418D-BB55-E13B70EF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687" name="Picture 686" descr="http://www.abs.gov.au/icons/ecblank.gif">
          <a:extLst>
            <a:ext uri="{FF2B5EF4-FFF2-40B4-BE49-F238E27FC236}">
              <a16:creationId xmlns:a16="http://schemas.microsoft.com/office/drawing/2014/main" id="{B96D07F7-773F-43C2-A750-95D36270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688" name="Picture 687" descr="http://www.abs.gov.au/icons/ecblank.gif">
          <a:extLst>
            <a:ext uri="{FF2B5EF4-FFF2-40B4-BE49-F238E27FC236}">
              <a16:creationId xmlns:a16="http://schemas.microsoft.com/office/drawing/2014/main" id="{00F85229-86E2-4514-9117-820A85BA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689" name="Picture 688" descr="http://www.abs.gov.au/icons/ecblank.gif">
          <a:extLst>
            <a:ext uri="{FF2B5EF4-FFF2-40B4-BE49-F238E27FC236}">
              <a16:creationId xmlns:a16="http://schemas.microsoft.com/office/drawing/2014/main" id="{2FA0F869-E6A4-4DF6-9DBD-D1E66399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690" name="Picture 689" descr="http://www.abs.gov.au/icons/ecblank.gif">
          <a:extLst>
            <a:ext uri="{FF2B5EF4-FFF2-40B4-BE49-F238E27FC236}">
              <a16:creationId xmlns:a16="http://schemas.microsoft.com/office/drawing/2014/main" id="{F5F6F402-8FC3-455B-8EE7-F42BD187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691" name="Picture 690" descr="http://www.abs.gov.au/icons/ecblank.gif">
          <a:extLst>
            <a:ext uri="{FF2B5EF4-FFF2-40B4-BE49-F238E27FC236}">
              <a16:creationId xmlns:a16="http://schemas.microsoft.com/office/drawing/2014/main" id="{AD5A2B1C-4195-408B-8A91-F1D74278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692" name="Picture 691" descr="http://www.abs.gov.au/icons/ecblank.gif">
          <a:extLst>
            <a:ext uri="{FF2B5EF4-FFF2-40B4-BE49-F238E27FC236}">
              <a16:creationId xmlns:a16="http://schemas.microsoft.com/office/drawing/2014/main" id="{282EB4C4-6F46-4F4B-8B39-69B342D0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693" name="Picture 692" descr="http://www.abs.gov.au/icons/ecblank.gif">
          <a:extLst>
            <a:ext uri="{FF2B5EF4-FFF2-40B4-BE49-F238E27FC236}">
              <a16:creationId xmlns:a16="http://schemas.microsoft.com/office/drawing/2014/main" id="{A0052221-BCC9-4EA6-9384-9A60AEFB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694" name="Picture 693" descr="http://www.abs.gov.au/icons/ecblank.gif">
          <a:extLst>
            <a:ext uri="{FF2B5EF4-FFF2-40B4-BE49-F238E27FC236}">
              <a16:creationId xmlns:a16="http://schemas.microsoft.com/office/drawing/2014/main" id="{AA2AB0B5-5306-48C1-8C63-32A875C4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695" name="Picture 694" descr="http://www.abs.gov.au/icons/ecblank.gif">
          <a:extLst>
            <a:ext uri="{FF2B5EF4-FFF2-40B4-BE49-F238E27FC236}">
              <a16:creationId xmlns:a16="http://schemas.microsoft.com/office/drawing/2014/main" id="{74BD066C-A95A-42D3-BA79-E6364EC7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696" name="Picture 695" descr="http://www.abs.gov.au/icons/ecblank.gif">
          <a:extLst>
            <a:ext uri="{FF2B5EF4-FFF2-40B4-BE49-F238E27FC236}">
              <a16:creationId xmlns:a16="http://schemas.microsoft.com/office/drawing/2014/main" id="{4B2DC0A2-BB28-41A0-B2CD-C2DB1D56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697" name="Picture 696" descr="http://www.abs.gov.au/icons/ecblank.gif">
          <a:extLst>
            <a:ext uri="{FF2B5EF4-FFF2-40B4-BE49-F238E27FC236}">
              <a16:creationId xmlns:a16="http://schemas.microsoft.com/office/drawing/2014/main" id="{7828D470-3994-4B35-B379-2268F903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698" name="Picture 697" descr="http://www.abs.gov.au/icons/ecblank.gif">
          <a:extLst>
            <a:ext uri="{FF2B5EF4-FFF2-40B4-BE49-F238E27FC236}">
              <a16:creationId xmlns:a16="http://schemas.microsoft.com/office/drawing/2014/main" id="{1C23C8A8-0CF0-432D-8264-344C10B0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699" name="Picture 698" descr="http://www.abs.gov.au/icons/ecblank.gif">
          <a:extLst>
            <a:ext uri="{FF2B5EF4-FFF2-40B4-BE49-F238E27FC236}">
              <a16:creationId xmlns:a16="http://schemas.microsoft.com/office/drawing/2014/main" id="{6B93EE3B-B9A3-40F4-BCDE-3152B9D9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700" name="Picture 699" descr="http://www.abs.gov.au/icons/ecblank.gif">
          <a:extLst>
            <a:ext uri="{FF2B5EF4-FFF2-40B4-BE49-F238E27FC236}">
              <a16:creationId xmlns:a16="http://schemas.microsoft.com/office/drawing/2014/main" id="{5613AF1B-5394-430E-AB5D-93947DD6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701" name="Picture 700" descr="http://www.abs.gov.au/icons/ecblank.gif">
          <a:extLst>
            <a:ext uri="{FF2B5EF4-FFF2-40B4-BE49-F238E27FC236}">
              <a16:creationId xmlns:a16="http://schemas.microsoft.com/office/drawing/2014/main" id="{F1DE875A-DD9A-423A-A370-55520BB9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702" name="Picture 701" descr="http://www.abs.gov.au/icons/ecblank.gif">
          <a:extLst>
            <a:ext uri="{FF2B5EF4-FFF2-40B4-BE49-F238E27FC236}">
              <a16:creationId xmlns:a16="http://schemas.microsoft.com/office/drawing/2014/main" id="{AEAFCC18-F6B0-4D9A-B7E0-739467C4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703" name="Picture 702" descr="http://www.abs.gov.au/icons/ecblank.gif">
          <a:extLst>
            <a:ext uri="{FF2B5EF4-FFF2-40B4-BE49-F238E27FC236}">
              <a16:creationId xmlns:a16="http://schemas.microsoft.com/office/drawing/2014/main" id="{0953222F-2F25-42B3-AB3C-2C688A55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704" name="Picture 703" descr="http://www.abs.gov.au/icons/ecblank.gif">
          <a:extLst>
            <a:ext uri="{FF2B5EF4-FFF2-40B4-BE49-F238E27FC236}">
              <a16:creationId xmlns:a16="http://schemas.microsoft.com/office/drawing/2014/main" id="{7E6A1395-C2A2-4512-8F63-22242282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705" name="Picture 704" descr="http://www.abs.gov.au/icons/ecblank.gif">
          <a:extLst>
            <a:ext uri="{FF2B5EF4-FFF2-40B4-BE49-F238E27FC236}">
              <a16:creationId xmlns:a16="http://schemas.microsoft.com/office/drawing/2014/main" id="{AAE3AA27-F725-46B0-94AC-952F692C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706" name="Picture 705" descr="http://www.abs.gov.au/icons/ecblank.gif">
          <a:extLst>
            <a:ext uri="{FF2B5EF4-FFF2-40B4-BE49-F238E27FC236}">
              <a16:creationId xmlns:a16="http://schemas.microsoft.com/office/drawing/2014/main" id="{6F581982-7266-4264-ACC9-4868D53B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707" name="Picture 706" descr="http://www.abs.gov.au/icons/ecblank.gif">
          <a:extLst>
            <a:ext uri="{FF2B5EF4-FFF2-40B4-BE49-F238E27FC236}">
              <a16:creationId xmlns:a16="http://schemas.microsoft.com/office/drawing/2014/main" id="{1F3A110A-D982-48F9-BA9B-8D3DD85B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708" name="Picture 707" descr="http://www.abs.gov.au/icons/ecblank.gif">
          <a:extLst>
            <a:ext uri="{FF2B5EF4-FFF2-40B4-BE49-F238E27FC236}">
              <a16:creationId xmlns:a16="http://schemas.microsoft.com/office/drawing/2014/main" id="{F24B5CAD-5BE8-42D9-B177-6972DEFE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709" name="Picture 708" descr="http://www.abs.gov.au/icons/ecblank.gif">
          <a:extLst>
            <a:ext uri="{FF2B5EF4-FFF2-40B4-BE49-F238E27FC236}">
              <a16:creationId xmlns:a16="http://schemas.microsoft.com/office/drawing/2014/main" id="{DCECF1CE-F713-437E-8437-EFDECAEF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710" name="Picture 108" descr="http://www.abs.gov.au/icons/ecblank.gif">
          <a:extLst>
            <a:ext uri="{FF2B5EF4-FFF2-40B4-BE49-F238E27FC236}">
              <a16:creationId xmlns:a16="http://schemas.microsoft.com/office/drawing/2014/main" id="{B67745EB-541F-449B-95C0-91F6A79C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711" name="Picture 109" descr="http://www.abs.gov.au/icons/ecblank.gif">
          <a:extLst>
            <a:ext uri="{FF2B5EF4-FFF2-40B4-BE49-F238E27FC236}">
              <a16:creationId xmlns:a16="http://schemas.microsoft.com/office/drawing/2014/main" id="{1194B3B6-20E2-4A2C-AAC8-9013A9B0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411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712" name="Picture 110" descr="http://www.abs.gov.au/icons/ecblank.gif">
          <a:extLst>
            <a:ext uri="{FF2B5EF4-FFF2-40B4-BE49-F238E27FC236}">
              <a16:creationId xmlns:a16="http://schemas.microsoft.com/office/drawing/2014/main" id="{C663C02F-6878-4E8C-BD05-426FC56F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713" name="Picture 111" descr="http://www.abs.gov.au/icons/ecblank.gif">
          <a:extLst>
            <a:ext uri="{FF2B5EF4-FFF2-40B4-BE49-F238E27FC236}">
              <a16:creationId xmlns:a16="http://schemas.microsoft.com/office/drawing/2014/main" id="{76A721FA-CF9E-4CC8-A6E1-897D573B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459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714" name="Picture 713" descr="http://www.abs.gov.au/icons/ecblank.gif">
          <a:extLst>
            <a:ext uri="{FF2B5EF4-FFF2-40B4-BE49-F238E27FC236}">
              <a16:creationId xmlns:a16="http://schemas.microsoft.com/office/drawing/2014/main" id="{C4E21F0D-337E-481C-9B86-6F1C640D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715" name="Picture 714" descr="http://www.abs.gov.au/icons/ecblank.gif">
          <a:extLst>
            <a:ext uri="{FF2B5EF4-FFF2-40B4-BE49-F238E27FC236}">
              <a16:creationId xmlns:a16="http://schemas.microsoft.com/office/drawing/2014/main" id="{58FEECC3-EF07-4BC9-A9B6-E0BBA590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716" name="Picture 715" descr="http://www.abs.gov.au/icons/ecblank.gif">
          <a:extLst>
            <a:ext uri="{FF2B5EF4-FFF2-40B4-BE49-F238E27FC236}">
              <a16:creationId xmlns:a16="http://schemas.microsoft.com/office/drawing/2014/main" id="{3DDAE350-F4BE-4BEE-8112-7C81090D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717" name="Picture 716" descr="http://www.abs.gov.au/icons/ecblank.gif">
          <a:extLst>
            <a:ext uri="{FF2B5EF4-FFF2-40B4-BE49-F238E27FC236}">
              <a16:creationId xmlns:a16="http://schemas.microsoft.com/office/drawing/2014/main" id="{25604898-670C-43B3-B6E7-FB3872AF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718" name="Picture 717" descr="http://www.abs.gov.au/icons/ecblank.gif">
          <a:extLst>
            <a:ext uri="{FF2B5EF4-FFF2-40B4-BE49-F238E27FC236}">
              <a16:creationId xmlns:a16="http://schemas.microsoft.com/office/drawing/2014/main" id="{43C5301F-E2DB-4E7D-A179-5B8C0AC8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719" name="Picture 718" descr="http://www.abs.gov.au/icons/ecblank.gif">
          <a:extLst>
            <a:ext uri="{FF2B5EF4-FFF2-40B4-BE49-F238E27FC236}">
              <a16:creationId xmlns:a16="http://schemas.microsoft.com/office/drawing/2014/main" id="{7523D5F7-62CD-4F86-8C9C-0FDA2EF2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720" name="Picture 719" descr="http://www.abs.gov.au/icons/ecblank.gif">
          <a:extLst>
            <a:ext uri="{FF2B5EF4-FFF2-40B4-BE49-F238E27FC236}">
              <a16:creationId xmlns:a16="http://schemas.microsoft.com/office/drawing/2014/main" id="{46E776D4-BD2C-4E4E-BABD-9CCA1D9F6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721" name="Picture 720" descr="http://www.abs.gov.au/icons/ecblank.gif">
          <a:extLst>
            <a:ext uri="{FF2B5EF4-FFF2-40B4-BE49-F238E27FC236}">
              <a16:creationId xmlns:a16="http://schemas.microsoft.com/office/drawing/2014/main" id="{DDDFF599-3905-4AC7-8886-988DF673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722" name="Picture 108" descr="http://www.abs.gov.au/icons/ecblank.gif">
          <a:extLst>
            <a:ext uri="{FF2B5EF4-FFF2-40B4-BE49-F238E27FC236}">
              <a16:creationId xmlns:a16="http://schemas.microsoft.com/office/drawing/2014/main" id="{43D80AB3-7DDC-4DC3-B3F8-1CAB657B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723" name="Picture 109" descr="http://www.abs.gov.au/icons/ecblank.gif">
          <a:extLst>
            <a:ext uri="{FF2B5EF4-FFF2-40B4-BE49-F238E27FC236}">
              <a16:creationId xmlns:a16="http://schemas.microsoft.com/office/drawing/2014/main" id="{8EA1CEFF-84B6-4925-B577-E9FFFA49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724" name="Picture 110" descr="http://www.abs.gov.au/icons/ecblank.gif">
          <a:extLst>
            <a:ext uri="{FF2B5EF4-FFF2-40B4-BE49-F238E27FC236}">
              <a16:creationId xmlns:a16="http://schemas.microsoft.com/office/drawing/2014/main" id="{A965ED2F-6A30-4158-9BA9-CC5827A6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725" name="Picture 111" descr="http://www.abs.gov.au/icons/ecblank.gif">
          <a:extLst>
            <a:ext uri="{FF2B5EF4-FFF2-40B4-BE49-F238E27FC236}">
              <a16:creationId xmlns:a16="http://schemas.microsoft.com/office/drawing/2014/main" id="{14A5465F-34BD-405D-A1BE-585E4546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6327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80</xdr:row>
      <xdr:rowOff>0</xdr:rowOff>
    </xdr:from>
    <xdr:to>
      <xdr:col>12</xdr:col>
      <xdr:colOff>0</xdr:colOff>
      <xdr:row>80</xdr:row>
      <xdr:rowOff>9525</xdr:rowOff>
    </xdr:to>
    <xdr:pic>
      <xdr:nvPicPr>
        <xdr:cNvPr id="726" name="Picture 725" descr="http://www.abs.gov.au/icons/ecblank.gif">
          <a:extLst>
            <a:ext uri="{FF2B5EF4-FFF2-40B4-BE49-F238E27FC236}">
              <a16:creationId xmlns:a16="http://schemas.microsoft.com/office/drawing/2014/main" id="{5BC7CEAF-1CD1-463A-BEDC-C3AC446C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201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80</xdr:row>
      <xdr:rowOff>0</xdr:rowOff>
    </xdr:from>
    <xdr:to>
      <xdr:col>12</xdr:col>
      <xdr:colOff>0</xdr:colOff>
      <xdr:row>80</xdr:row>
      <xdr:rowOff>9525</xdr:rowOff>
    </xdr:to>
    <xdr:pic>
      <xdr:nvPicPr>
        <xdr:cNvPr id="727" name="Picture 726" descr="http://www.abs.gov.au/icons/ecblank.gif">
          <a:extLst>
            <a:ext uri="{FF2B5EF4-FFF2-40B4-BE49-F238E27FC236}">
              <a16:creationId xmlns:a16="http://schemas.microsoft.com/office/drawing/2014/main" id="{E51C4E30-E682-4DE9-A4BD-B8BE81AE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201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9525</xdr:rowOff>
    </xdr:to>
    <xdr:pic>
      <xdr:nvPicPr>
        <xdr:cNvPr id="728" name="Picture 727" descr="http://www.abs.gov.au/icons/ecblank.gif">
          <a:extLst>
            <a:ext uri="{FF2B5EF4-FFF2-40B4-BE49-F238E27FC236}">
              <a16:creationId xmlns:a16="http://schemas.microsoft.com/office/drawing/2014/main" id="{736DF685-8186-47D9-8F85-5EC86759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201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9525</xdr:rowOff>
    </xdr:to>
    <xdr:pic>
      <xdr:nvPicPr>
        <xdr:cNvPr id="729" name="Picture 728" descr="http://www.abs.gov.au/icons/ecblank.gif">
          <a:extLst>
            <a:ext uri="{FF2B5EF4-FFF2-40B4-BE49-F238E27FC236}">
              <a16:creationId xmlns:a16="http://schemas.microsoft.com/office/drawing/2014/main" id="{71181B5C-4DEB-4C28-A7B4-E78AD340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201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80</xdr:row>
      <xdr:rowOff>0</xdr:rowOff>
    </xdr:from>
    <xdr:to>
      <xdr:col>12</xdr:col>
      <xdr:colOff>0</xdr:colOff>
      <xdr:row>80</xdr:row>
      <xdr:rowOff>9525</xdr:rowOff>
    </xdr:to>
    <xdr:pic>
      <xdr:nvPicPr>
        <xdr:cNvPr id="730" name="Picture 729" descr="http://www.abs.gov.au/icons/ecblank.gif">
          <a:extLst>
            <a:ext uri="{FF2B5EF4-FFF2-40B4-BE49-F238E27FC236}">
              <a16:creationId xmlns:a16="http://schemas.microsoft.com/office/drawing/2014/main" id="{38C0634B-0FA7-4F8A-B350-18772E5C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201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80</xdr:row>
      <xdr:rowOff>0</xdr:rowOff>
    </xdr:from>
    <xdr:to>
      <xdr:col>12</xdr:col>
      <xdr:colOff>0</xdr:colOff>
      <xdr:row>80</xdr:row>
      <xdr:rowOff>9525</xdr:rowOff>
    </xdr:to>
    <xdr:pic>
      <xdr:nvPicPr>
        <xdr:cNvPr id="731" name="Picture 730" descr="http://www.abs.gov.au/icons/ecblank.gif">
          <a:extLst>
            <a:ext uri="{FF2B5EF4-FFF2-40B4-BE49-F238E27FC236}">
              <a16:creationId xmlns:a16="http://schemas.microsoft.com/office/drawing/2014/main" id="{274E4D75-81A2-4801-A9BB-4C8D8B5F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20150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9525</xdr:rowOff>
    </xdr:to>
    <xdr:pic>
      <xdr:nvPicPr>
        <xdr:cNvPr id="732" name="Picture 731" descr="http://www.abs.gov.au/icons/ecblank.gif">
          <a:extLst>
            <a:ext uri="{FF2B5EF4-FFF2-40B4-BE49-F238E27FC236}">
              <a16:creationId xmlns:a16="http://schemas.microsoft.com/office/drawing/2014/main" id="{5D7EEED4-4143-4A5A-8FDA-3DC7460F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201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9525</xdr:rowOff>
    </xdr:to>
    <xdr:pic>
      <xdr:nvPicPr>
        <xdr:cNvPr id="733" name="Picture 732" descr="http://www.abs.gov.au/icons/ecblank.gif">
          <a:extLst>
            <a:ext uri="{FF2B5EF4-FFF2-40B4-BE49-F238E27FC236}">
              <a16:creationId xmlns:a16="http://schemas.microsoft.com/office/drawing/2014/main" id="{6A0A567F-8AA1-400E-B441-182B7A96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20150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9525</xdr:colOff>
      <xdr:row>79</xdr:row>
      <xdr:rowOff>9525</xdr:rowOff>
    </xdr:to>
    <xdr:pic>
      <xdr:nvPicPr>
        <xdr:cNvPr id="734" name="Picture 733" descr="http://www.abs.gov.au/icons/ecblank.gif">
          <a:extLst>
            <a:ext uri="{FF2B5EF4-FFF2-40B4-BE49-F238E27FC236}">
              <a16:creationId xmlns:a16="http://schemas.microsoft.com/office/drawing/2014/main" id="{C7DAFB4A-4F4E-434B-8CD1-1D9226BE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677650" y="1584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79</xdr:row>
      <xdr:rowOff>0</xdr:rowOff>
    </xdr:from>
    <xdr:to>
      <xdr:col>16</xdr:col>
      <xdr:colOff>9525</xdr:colOff>
      <xdr:row>79</xdr:row>
      <xdr:rowOff>9525</xdr:rowOff>
    </xdr:to>
    <xdr:pic>
      <xdr:nvPicPr>
        <xdr:cNvPr id="735" name="Picture 734" descr="http://www.abs.gov.au/icons/ecblank.gif">
          <a:extLst>
            <a:ext uri="{FF2B5EF4-FFF2-40B4-BE49-F238E27FC236}">
              <a16:creationId xmlns:a16="http://schemas.microsoft.com/office/drawing/2014/main" id="{C8F49DC0-5299-4432-B096-F061E51B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677650" y="1584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9525</xdr:colOff>
      <xdr:row>95</xdr:row>
      <xdr:rowOff>9525</xdr:rowOff>
    </xdr:to>
    <xdr:pic>
      <xdr:nvPicPr>
        <xdr:cNvPr id="736" name="Picture 735" descr="http://www.abs.gov.au/icons/ecblank.gif">
          <a:extLst>
            <a:ext uri="{FF2B5EF4-FFF2-40B4-BE49-F238E27FC236}">
              <a16:creationId xmlns:a16="http://schemas.microsoft.com/office/drawing/2014/main" id="{0FCAE010-54A3-4363-B334-CAFECB88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677650" y="18888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9525</xdr:colOff>
      <xdr:row>95</xdr:row>
      <xdr:rowOff>9525</xdr:rowOff>
    </xdr:to>
    <xdr:pic>
      <xdr:nvPicPr>
        <xdr:cNvPr id="737" name="Picture 736" descr="http://www.abs.gov.au/icons/ecblank.gif">
          <a:extLst>
            <a:ext uri="{FF2B5EF4-FFF2-40B4-BE49-F238E27FC236}">
              <a16:creationId xmlns:a16="http://schemas.microsoft.com/office/drawing/2014/main" id="{50F86499-5BB8-4F16-8A0E-F7D26EDB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677650" y="18888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738" name="Picture 737" descr="http://www.abs.gov.au/icons/ecblank.gif">
          <a:extLst>
            <a:ext uri="{FF2B5EF4-FFF2-40B4-BE49-F238E27FC236}">
              <a16:creationId xmlns:a16="http://schemas.microsoft.com/office/drawing/2014/main" id="{001AFBA1-7A30-46A9-967E-B744BB51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739" name="Picture 738" descr="http://www.abs.gov.au/icons/ecblank.gif">
          <a:extLst>
            <a:ext uri="{FF2B5EF4-FFF2-40B4-BE49-F238E27FC236}">
              <a16:creationId xmlns:a16="http://schemas.microsoft.com/office/drawing/2014/main" id="{0BA5F858-3059-47F7-97E1-C0663E6E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740" name="Picture 739" descr="http://www.abs.gov.au/icons/ecblank.gif">
          <a:extLst>
            <a:ext uri="{FF2B5EF4-FFF2-40B4-BE49-F238E27FC236}">
              <a16:creationId xmlns:a16="http://schemas.microsoft.com/office/drawing/2014/main" id="{0A3B8865-472B-469D-9B60-71B10730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741" name="Picture 740" descr="http://www.abs.gov.au/icons/ecblank.gif">
          <a:extLst>
            <a:ext uri="{FF2B5EF4-FFF2-40B4-BE49-F238E27FC236}">
              <a16:creationId xmlns:a16="http://schemas.microsoft.com/office/drawing/2014/main" id="{BB2F35FB-6D03-492F-B8AB-56D4A139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742" name="Picture 741" descr="http://www.abs.gov.au/icons/ecblank.gif">
          <a:extLst>
            <a:ext uri="{FF2B5EF4-FFF2-40B4-BE49-F238E27FC236}">
              <a16:creationId xmlns:a16="http://schemas.microsoft.com/office/drawing/2014/main" id="{E192F2CE-9520-4883-BC54-34178359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743" name="Picture 742" descr="http://www.abs.gov.au/icons/ecblank.gif">
          <a:extLst>
            <a:ext uri="{FF2B5EF4-FFF2-40B4-BE49-F238E27FC236}">
              <a16:creationId xmlns:a16="http://schemas.microsoft.com/office/drawing/2014/main" id="{CF79A55B-1D45-4478-A0CB-72EF8B8A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744" name="Picture 743" descr="http://www.abs.gov.au/icons/ecblank.gif">
          <a:extLst>
            <a:ext uri="{FF2B5EF4-FFF2-40B4-BE49-F238E27FC236}">
              <a16:creationId xmlns:a16="http://schemas.microsoft.com/office/drawing/2014/main" id="{E57E0BF8-E130-48CB-B223-5B405A5A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745" name="Picture 744" descr="http://www.abs.gov.au/icons/ecblank.gif">
          <a:extLst>
            <a:ext uri="{FF2B5EF4-FFF2-40B4-BE49-F238E27FC236}">
              <a16:creationId xmlns:a16="http://schemas.microsoft.com/office/drawing/2014/main" id="{541E72D2-F8EE-42A1-8D5A-06642971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746" name="Picture 745" descr="http://www.abs.gov.au/icons/ecblank.gif">
          <a:extLst>
            <a:ext uri="{FF2B5EF4-FFF2-40B4-BE49-F238E27FC236}">
              <a16:creationId xmlns:a16="http://schemas.microsoft.com/office/drawing/2014/main" id="{A883B1C4-CC6E-42C7-9E4F-7E8BC5CE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747" name="Picture 746" descr="http://www.abs.gov.au/icons/ecblank.gif">
          <a:extLst>
            <a:ext uri="{FF2B5EF4-FFF2-40B4-BE49-F238E27FC236}">
              <a16:creationId xmlns:a16="http://schemas.microsoft.com/office/drawing/2014/main" id="{6FDF512E-B2C7-4068-B9A5-69FCB0B1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748" name="Picture 747" descr="http://www.abs.gov.au/icons/ecblank.gif">
          <a:extLst>
            <a:ext uri="{FF2B5EF4-FFF2-40B4-BE49-F238E27FC236}">
              <a16:creationId xmlns:a16="http://schemas.microsoft.com/office/drawing/2014/main" id="{98DA5CB1-B6BA-4444-BC71-B6E1DAE2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749" name="Picture 748" descr="http://www.abs.gov.au/icons/ecblank.gif">
          <a:extLst>
            <a:ext uri="{FF2B5EF4-FFF2-40B4-BE49-F238E27FC236}">
              <a16:creationId xmlns:a16="http://schemas.microsoft.com/office/drawing/2014/main" id="{0D4188FC-BEBC-496E-9BEB-2CAFDEBE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750" name="Picture 749" descr="http://www.abs.gov.au/icons/ecblank.gif">
          <a:extLst>
            <a:ext uri="{FF2B5EF4-FFF2-40B4-BE49-F238E27FC236}">
              <a16:creationId xmlns:a16="http://schemas.microsoft.com/office/drawing/2014/main" id="{A0D6EC03-09C3-40D7-8E6F-FC2AFE6B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95</xdr:row>
      <xdr:rowOff>0</xdr:rowOff>
    </xdr:from>
    <xdr:to>
      <xdr:col>17</xdr:col>
      <xdr:colOff>0</xdr:colOff>
      <xdr:row>95</xdr:row>
      <xdr:rowOff>9525</xdr:rowOff>
    </xdr:to>
    <xdr:pic>
      <xdr:nvPicPr>
        <xdr:cNvPr id="751" name="Picture 750" descr="http://www.abs.gov.au/icons/ecblank.gif">
          <a:extLst>
            <a:ext uri="{FF2B5EF4-FFF2-40B4-BE49-F238E27FC236}">
              <a16:creationId xmlns:a16="http://schemas.microsoft.com/office/drawing/2014/main" id="{31C3149A-1A9D-46CC-A77B-92E6E7DA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888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752" name="Picture 751" descr="http://www.abs.gov.au/icons/ecblank.gif">
          <a:extLst>
            <a:ext uri="{FF2B5EF4-FFF2-40B4-BE49-F238E27FC236}">
              <a16:creationId xmlns:a16="http://schemas.microsoft.com/office/drawing/2014/main" id="{1ED8EB7D-1C7D-46E4-8518-6AC3F3A2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79</xdr:row>
      <xdr:rowOff>9525</xdr:rowOff>
    </xdr:to>
    <xdr:pic>
      <xdr:nvPicPr>
        <xdr:cNvPr id="753" name="Picture 752" descr="http://www.abs.gov.au/icons/ecblank.gif">
          <a:extLst>
            <a:ext uri="{FF2B5EF4-FFF2-40B4-BE49-F238E27FC236}">
              <a16:creationId xmlns:a16="http://schemas.microsoft.com/office/drawing/2014/main" id="{EDE3EFBA-1EEF-49FA-BEA7-F3E862E8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5840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754" name="Picture 753" descr="http://www.abs.gov.au/icons/ecblank.gif">
          <a:extLst>
            <a:ext uri="{FF2B5EF4-FFF2-40B4-BE49-F238E27FC236}">
              <a16:creationId xmlns:a16="http://schemas.microsoft.com/office/drawing/2014/main" id="{DBBD3FF7-7996-4182-892E-BC3AB59F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755" name="Picture 754" descr="http://www.abs.gov.au/icons/ecblank.gif">
          <a:extLst>
            <a:ext uri="{FF2B5EF4-FFF2-40B4-BE49-F238E27FC236}">
              <a16:creationId xmlns:a16="http://schemas.microsoft.com/office/drawing/2014/main" id="{D07295C0-01D5-442F-BBDA-ADB08891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756" name="Picture 755" descr="http://www.abs.gov.au/icons/ecblank.gif">
          <a:extLst>
            <a:ext uri="{FF2B5EF4-FFF2-40B4-BE49-F238E27FC236}">
              <a16:creationId xmlns:a16="http://schemas.microsoft.com/office/drawing/2014/main" id="{BBD8F665-31F4-4656-A7B0-E3676166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757" name="Picture 756" descr="http://www.abs.gov.au/icons/ecblank.gif">
          <a:extLst>
            <a:ext uri="{FF2B5EF4-FFF2-40B4-BE49-F238E27FC236}">
              <a16:creationId xmlns:a16="http://schemas.microsoft.com/office/drawing/2014/main" id="{36E4B564-A02D-41C4-A3C4-7411A1B2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758" name="Picture 757" descr="http://www.abs.gov.au/icons/ecblank.gif">
          <a:extLst>
            <a:ext uri="{FF2B5EF4-FFF2-40B4-BE49-F238E27FC236}">
              <a16:creationId xmlns:a16="http://schemas.microsoft.com/office/drawing/2014/main" id="{4521039D-744E-4083-A09C-D2BF048D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759" name="Picture 758" descr="http://www.abs.gov.au/icons/ecblank.gif">
          <a:extLst>
            <a:ext uri="{FF2B5EF4-FFF2-40B4-BE49-F238E27FC236}">
              <a16:creationId xmlns:a16="http://schemas.microsoft.com/office/drawing/2014/main" id="{741ECFCE-00A1-4A34-AFDE-2DC06D5C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760" name="Picture 759" descr="http://www.abs.gov.au/icons/ecblank.gif">
          <a:extLst>
            <a:ext uri="{FF2B5EF4-FFF2-40B4-BE49-F238E27FC236}">
              <a16:creationId xmlns:a16="http://schemas.microsoft.com/office/drawing/2014/main" id="{D873C8C1-4C7F-4253-B985-639D40C3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761" name="Picture 760" descr="http://www.abs.gov.au/icons/ecblank.gif">
          <a:extLst>
            <a:ext uri="{FF2B5EF4-FFF2-40B4-BE49-F238E27FC236}">
              <a16:creationId xmlns:a16="http://schemas.microsoft.com/office/drawing/2014/main" id="{C0FD5A31-C709-4AA5-97D0-A87F6C2A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762" name="Picture 108" descr="http://www.abs.gov.au/icons/ecblank.gif">
          <a:extLst>
            <a:ext uri="{FF2B5EF4-FFF2-40B4-BE49-F238E27FC236}">
              <a16:creationId xmlns:a16="http://schemas.microsoft.com/office/drawing/2014/main" id="{E6B7BAA7-39D2-479A-BD6F-3384B1CC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0</xdr:colOff>
      <xdr:row>81</xdr:row>
      <xdr:rowOff>9525</xdr:rowOff>
    </xdr:to>
    <xdr:pic>
      <xdr:nvPicPr>
        <xdr:cNvPr id="763" name="Picture 109" descr="http://www.abs.gov.au/icons/ecblank.gif">
          <a:extLst>
            <a:ext uri="{FF2B5EF4-FFF2-40B4-BE49-F238E27FC236}">
              <a16:creationId xmlns:a16="http://schemas.microsoft.com/office/drawing/2014/main" id="{CE7E7952-9233-49FF-AC5C-D5AAD22E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221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764" name="Picture 110" descr="http://www.abs.gov.au/icons/ecblank.gif">
          <a:extLst>
            <a:ext uri="{FF2B5EF4-FFF2-40B4-BE49-F238E27FC236}">
              <a16:creationId xmlns:a16="http://schemas.microsoft.com/office/drawing/2014/main" id="{7B797B66-DF6B-48AA-B55E-EA9E4489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17</xdr:col>
      <xdr:colOff>0</xdr:colOff>
      <xdr:row>97</xdr:row>
      <xdr:rowOff>9525</xdr:rowOff>
    </xdr:to>
    <xdr:pic>
      <xdr:nvPicPr>
        <xdr:cNvPr id="765" name="Picture 111" descr="http://www.abs.gov.au/icons/ecblank.gif">
          <a:extLst>
            <a:ext uri="{FF2B5EF4-FFF2-40B4-BE49-F238E27FC236}">
              <a16:creationId xmlns:a16="http://schemas.microsoft.com/office/drawing/2014/main" id="{54410905-D18B-4303-8BEE-B266E253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269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766" name="Picture 765" descr="http://www.abs.gov.au/icons/ecblank.gif">
          <a:extLst>
            <a:ext uri="{FF2B5EF4-FFF2-40B4-BE49-F238E27FC236}">
              <a16:creationId xmlns:a16="http://schemas.microsoft.com/office/drawing/2014/main" id="{567378C1-FFEE-451F-BBE0-025ADECF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767" name="Picture 766" descr="http://www.abs.gov.au/icons/ecblank.gif">
          <a:extLst>
            <a:ext uri="{FF2B5EF4-FFF2-40B4-BE49-F238E27FC236}">
              <a16:creationId xmlns:a16="http://schemas.microsoft.com/office/drawing/2014/main" id="{571DD6E3-E379-4AAD-A3C2-533C95DB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768" name="Picture 767" descr="http://www.abs.gov.au/icons/ecblank.gif">
          <a:extLst>
            <a:ext uri="{FF2B5EF4-FFF2-40B4-BE49-F238E27FC236}">
              <a16:creationId xmlns:a16="http://schemas.microsoft.com/office/drawing/2014/main" id="{EDF921F9-E511-4E2F-80CB-3F31D4C0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769" name="Picture 768" descr="http://www.abs.gov.au/icons/ecblank.gif">
          <a:extLst>
            <a:ext uri="{FF2B5EF4-FFF2-40B4-BE49-F238E27FC236}">
              <a16:creationId xmlns:a16="http://schemas.microsoft.com/office/drawing/2014/main" id="{FEE74C2B-DA38-4736-9CA6-911C6E16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770" name="Picture 769" descr="http://www.abs.gov.au/icons/ecblank.gif">
          <a:extLst>
            <a:ext uri="{FF2B5EF4-FFF2-40B4-BE49-F238E27FC236}">
              <a16:creationId xmlns:a16="http://schemas.microsoft.com/office/drawing/2014/main" id="{CCC2C913-1800-4BA1-8AF3-79C7F88C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771" name="Picture 770" descr="http://www.abs.gov.au/icons/ecblank.gif">
          <a:extLst>
            <a:ext uri="{FF2B5EF4-FFF2-40B4-BE49-F238E27FC236}">
              <a16:creationId xmlns:a16="http://schemas.microsoft.com/office/drawing/2014/main" id="{40EFA9C5-33E1-421F-AC73-173919BC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772" name="Picture 771" descr="http://www.abs.gov.au/icons/ecblank.gif">
          <a:extLst>
            <a:ext uri="{FF2B5EF4-FFF2-40B4-BE49-F238E27FC236}">
              <a16:creationId xmlns:a16="http://schemas.microsoft.com/office/drawing/2014/main" id="{B6EE9A8C-9F6F-4A72-9040-CEA3E4E5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773" name="Picture 772" descr="http://www.abs.gov.au/icons/ecblank.gif">
          <a:extLst>
            <a:ext uri="{FF2B5EF4-FFF2-40B4-BE49-F238E27FC236}">
              <a16:creationId xmlns:a16="http://schemas.microsoft.com/office/drawing/2014/main" id="{ACA07AC5-CCCC-4BB1-B08E-B789087E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774" name="Picture 108" descr="http://www.abs.gov.au/icons/ecblank.gif">
          <a:extLst>
            <a:ext uri="{FF2B5EF4-FFF2-40B4-BE49-F238E27FC236}">
              <a16:creationId xmlns:a16="http://schemas.microsoft.com/office/drawing/2014/main" id="{B59F4D7B-278B-462A-9593-E724EEED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0</xdr:colOff>
      <xdr:row>80</xdr:row>
      <xdr:rowOff>9525</xdr:rowOff>
    </xdr:to>
    <xdr:pic>
      <xdr:nvPicPr>
        <xdr:cNvPr id="775" name="Picture 109" descr="http://www.abs.gov.au/icons/ecblank.gif">
          <a:extLst>
            <a:ext uri="{FF2B5EF4-FFF2-40B4-BE49-F238E27FC236}">
              <a16:creationId xmlns:a16="http://schemas.microsoft.com/office/drawing/2014/main" id="{BDE72105-FDBB-421F-93BC-30DD47A4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6030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776" name="Picture 110" descr="http://www.abs.gov.au/icons/ecblank.gif">
          <a:extLst>
            <a:ext uri="{FF2B5EF4-FFF2-40B4-BE49-F238E27FC236}">
              <a16:creationId xmlns:a16="http://schemas.microsoft.com/office/drawing/2014/main" id="{B67BE655-A734-49E4-964D-CFABC4AB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96</xdr:row>
      <xdr:rowOff>0</xdr:rowOff>
    </xdr:from>
    <xdr:to>
      <xdr:col>17</xdr:col>
      <xdr:colOff>0</xdr:colOff>
      <xdr:row>96</xdr:row>
      <xdr:rowOff>9525</xdr:rowOff>
    </xdr:to>
    <xdr:pic>
      <xdr:nvPicPr>
        <xdr:cNvPr id="777" name="Picture 111" descr="http://www.abs.gov.au/icons/ecblank.gif">
          <a:extLst>
            <a:ext uri="{FF2B5EF4-FFF2-40B4-BE49-F238E27FC236}">
              <a16:creationId xmlns:a16="http://schemas.microsoft.com/office/drawing/2014/main" id="{A10DAF18-8469-48D5-8624-336EFDE7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92025" y="1907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78" name="Picture 39" descr="http://www.abs.gov.au/icons/ecblank.gif">
          <a:extLst>
            <a:ext uri="{FF2B5EF4-FFF2-40B4-BE49-F238E27FC236}">
              <a16:creationId xmlns:a16="http://schemas.microsoft.com/office/drawing/2014/main" id="{FFACE49C-1B5D-4AF1-8540-F8E92EF7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79" name="Picture 40" descr="http://www.abs.gov.au/icons/ecblank.gif">
          <a:extLst>
            <a:ext uri="{FF2B5EF4-FFF2-40B4-BE49-F238E27FC236}">
              <a16:creationId xmlns:a16="http://schemas.microsoft.com/office/drawing/2014/main" id="{86762822-6547-4975-B6B2-3A0F43AF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780" name="Picture 41" descr="http://www.abs.gov.au/icons/ecblank.gif">
          <a:extLst>
            <a:ext uri="{FF2B5EF4-FFF2-40B4-BE49-F238E27FC236}">
              <a16:creationId xmlns:a16="http://schemas.microsoft.com/office/drawing/2014/main" id="{47680375-AD37-4EF2-9760-6384C2C6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781" name="Picture 42" descr="http://www.abs.gov.au/icons/ecblank.gif">
          <a:extLst>
            <a:ext uri="{FF2B5EF4-FFF2-40B4-BE49-F238E27FC236}">
              <a16:creationId xmlns:a16="http://schemas.microsoft.com/office/drawing/2014/main" id="{C9225ABC-1EFC-41F8-925A-C158E6E0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82" name="Picture 43" descr="http://www.abs.gov.au/icons/ecblank.gif">
          <a:extLst>
            <a:ext uri="{FF2B5EF4-FFF2-40B4-BE49-F238E27FC236}">
              <a16:creationId xmlns:a16="http://schemas.microsoft.com/office/drawing/2014/main" id="{58269A4D-A8CF-4283-9428-560072BA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83" name="Picture 44" descr="http://www.abs.gov.au/icons/ecblank.gif">
          <a:extLst>
            <a:ext uri="{FF2B5EF4-FFF2-40B4-BE49-F238E27FC236}">
              <a16:creationId xmlns:a16="http://schemas.microsoft.com/office/drawing/2014/main" id="{D2606640-1344-45E2-8996-DBFFEA41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784" name="Picture 45" descr="http://www.abs.gov.au/icons/ecblank.gif">
          <a:extLst>
            <a:ext uri="{FF2B5EF4-FFF2-40B4-BE49-F238E27FC236}">
              <a16:creationId xmlns:a16="http://schemas.microsoft.com/office/drawing/2014/main" id="{2C80C038-93A2-405D-BFCE-E52BE76C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785" name="Picture 46" descr="http://www.abs.gov.au/icons/ecblank.gif">
          <a:extLst>
            <a:ext uri="{FF2B5EF4-FFF2-40B4-BE49-F238E27FC236}">
              <a16:creationId xmlns:a16="http://schemas.microsoft.com/office/drawing/2014/main" id="{3C1DD3DA-3163-4EBA-9109-51091B80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86" name="Picture 47" descr="http://www.abs.gov.au/icons/ecblank.gif">
          <a:extLst>
            <a:ext uri="{FF2B5EF4-FFF2-40B4-BE49-F238E27FC236}">
              <a16:creationId xmlns:a16="http://schemas.microsoft.com/office/drawing/2014/main" id="{BE6DF4BF-B923-40D9-86AA-B8803EED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87" name="Picture 48" descr="http://www.abs.gov.au/icons/ecblank.gif">
          <a:extLst>
            <a:ext uri="{FF2B5EF4-FFF2-40B4-BE49-F238E27FC236}">
              <a16:creationId xmlns:a16="http://schemas.microsoft.com/office/drawing/2014/main" id="{47D39BCB-2285-4620-AE8B-634CE63F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788" name="Picture 49" descr="http://www.abs.gov.au/icons/ecblank.gif">
          <a:extLst>
            <a:ext uri="{FF2B5EF4-FFF2-40B4-BE49-F238E27FC236}">
              <a16:creationId xmlns:a16="http://schemas.microsoft.com/office/drawing/2014/main" id="{CF389A67-E316-4AEE-83A8-E5521ABC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789" name="Picture 50" descr="http://www.abs.gov.au/icons/ecblank.gif">
          <a:extLst>
            <a:ext uri="{FF2B5EF4-FFF2-40B4-BE49-F238E27FC236}">
              <a16:creationId xmlns:a16="http://schemas.microsoft.com/office/drawing/2014/main" id="{43AC65E6-A321-4F0D-B72D-436DE52F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90" name="Picture 51" descr="http://www.abs.gov.au/icons/ecblank.gif">
          <a:extLst>
            <a:ext uri="{FF2B5EF4-FFF2-40B4-BE49-F238E27FC236}">
              <a16:creationId xmlns:a16="http://schemas.microsoft.com/office/drawing/2014/main" id="{588F492D-3ED3-4FB7-9A96-DFB5A5D8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91" name="Picture 52" descr="http://www.abs.gov.au/icons/ecblank.gif">
          <a:extLst>
            <a:ext uri="{FF2B5EF4-FFF2-40B4-BE49-F238E27FC236}">
              <a16:creationId xmlns:a16="http://schemas.microsoft.com/office/drawing/2014/main" id="{48BB33DA-9322-4D49-A889-9D5F1C9C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92" name="Picture 53" descr="http://www.abs.gov.au/icons/ecblank.gif">
          <a:extLst>
            <a:ext uri="{FF2B5EF4-FFF2-40B4-BE49-F238E27FC236}">
              <a16:creationId xmlns:a16="http://schemas.microsoft.com/office/drawing/2014/main" id="{33099BBB-9282-45BB-B336-9F87E20A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93" name="Picture 54" descr="http://www.abs.gov.au/icons/ecblank.gif">
          <a:extLst>
            <a:ext uri="{FF2B5EF4-FFF2-40B4-BE49-F238E27FC236}">
              <a16:creationId xmlns:a16="http://schemas.microsoft.com/office/drawing/2014/main" id="{79D83C9B-D276-4D1C-AC48-A26C09C0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794" name="Picture 55" descr="http://www.abs.gov.au/icons/ecblank.gif">
          <a:extLst>
            <a:ext uri="{FF2B5EF4-FFF2-40B4-BE49-F238E27FC236}">
              <a16:creationId xmlns:a16="http://schemas.microsoft.com/office/drawing/2014/main" id="{BC66019D-02DA-4BD3-95ED-C06B0FB0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795" name="Picture 56" descr="http://www.abs.gov.au/icons/ecblank.gif">
          <a:extLst>
            <a:ext uri="{FF2B5EF4-FFF2-40B4-BE49-F238E27FC236}">
              <a16:creationId xmlns:a16="http://schemas.microsoft.com/office/drawing/2014/main" id="{CB510780-5487-4142-AC04-0B8110FD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96" name="Picture 57" descr="http://www.abs.gov.au/icons/ecblank.gif">
          <a:extLst>
            <a:ext uri="{FF2B5EF4-FFF2-40B4-BE49-F238E27FC236}">
              <a16:creationId xmlns:a16="http://schemas.microsoft.com/office/drawing/2014/main" id="{DBA3687E-3EBB-4543-9AE2-9CF19097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97" name="Picture 58" descr="http://www.abs.gov.au/icons/ecblank.gif">
          <a:extLst>
            <a:ext uri="{FF2B5EF4-FFF2-40B4-BE49-F238E27FC236}">
              <a16:creationId xmlns:a16="http://schemas.microsoft.com/office/drawing/2014/main" id="{49C77757-8F81-4C05-9AC3-6F377E96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98" name="Picture 39" descr="http://www.abs.gov.au/icons/ecblank.gif">
          <a:extLst>
            <a:ext uri="{FF2B5EF4-FFF2-40B4-BE49-F238E27FC236}">
              <a16:creationId xmlns:a16="http://schemas.microsoft.com/office/drawing/2014/main" id="{3E7BB38B-0F49-49D1-9B8D-541E26E0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799" name="Picture 40" descr="http://www.abs.gov.au/icons/ecblank.gif">
          <a:extLst>
            <a:ext uri="{FF2B5EF4-FFF2-40B4-BE49-F238E27FC236}">
              <a16:creationId xmlns:a16="http://schemas.microsoft.com/office/drawing/2014/main" id="{427AC033-2708-408B-A613-EA75F7B6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800" name="Picture 41" descr="http://www.abs.gov.au/icons/ecblank.gif">
          <a:extLst>
            <a:ext uri="{FF2B5EF4-FFF2-40B4-BE49-F238E27FC236}">
              <a16:creationId xmlns:a16="http://schemas.microsoft.com/office/drawing/2014/main" id="{0F497C8E-B349-4E39-869D-D5F46486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801" name="Picture 42" descr="http://www.abs.gov.au/icons/ecblank.gif">
          <a:extLst>
            <a:ext uri="{FF2B5EF4-FFF2-40B4-BE49-F238E27FC236}">
              <a16:creationId xmlns:a16="http://schemas.microsoft.com/office/drawing/2014/main" id="{0080B25E-EC25-4CFD-8B75-6F8261F5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802" name="Picture 43" descr="http://www.abs.gov.au/icons/ecblank.gif">
          <a:extLst>
            <a:ext uri="{FF2B5EF4-FFF2-40B4-BE49-F238E27FC236}">
              <a16:creationId xmlns:a16="http://schemas.microsoft.com/office/drawing/2014/main" id="{DCFC5071-95EF-47EB-BAFB-E70B962F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803" name="Picture 44" descr="http://www.abs.gov.au/icons/ecblank.gif">
          <a:extLst>
            <a:ext uri="{FF2B5EF4-FFF2-40B4-BE49-F238E27FC236}">
              <a16:creationId xmlns:a16="http://schemas.microsoft.com/office/drawing/2014/main" id="{5FF8BED6-49D8-4930-BBA9-E6F1A2C6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804" name="Picture 45" descr="http://www.abs.gov.au/icons/ecblank.gif">
          <a:extLst>
            <a:ext uri="{FF2B5EF4-FFF2-40B4-BE49-F238E27FC236}">
              <a16:creationId xmlns:a16="http://schemas.microsoft.com/office/drawing/2014/main" id="{D9D6DDE5-D375-4A4F-ACE4-1DB9DEEF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805" name="Picture 46" descr="http://www.abs.gov.au/icons/ecblank.gif">
          <a:extLst>
            <a:ext uri="{FF2B5EF4-FFF2-40B4-BE49-F238E27FC236}">
              <a16:creationId xmlns:a16="http://schemas.microsoft.com/office/drawing/2014/main" id="{6170A9AD-F888-4588-A9B7-6B2CFB21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806" name="Picture 47" descr="http://www.abs.gov.au/icons/ecblank.gif">
          <a:extLst>
            <a:ext uri="{FF2B5EF4-FFF2-40B4-BE49-F238E27FC236}">
              <a16:creationId xmlns:a16="http://schemas.microsoft.com/office/drawing/2014/main" id="{14226D71-9708-4DE1-A545-17B216B0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807" name="Picture 48" descr="http://www.abs.gov.au/icons/ecblank.gif">
          <a:extLst>
            <a:ext uri="{FF2B5EF4-FFF2-40B4-BE49-F238E27FC236}">
              <a16:creationId xmlns:a16="http://schemas.microsoft.com/office/drawing/2014/main" id="{98BED7F2-2758-443E-AE66-7AE92184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808" name="Picture 49" descr="http://www.abs.gov.au/icons/ecblank.gif">
          <a:extLst>
            <a:ext uri="{FF2B5EF4-FFF2-40B4-BE49-F238E27FC236}">
              <a16:creationId xmlns:a16="http://schemas.microsoft.com/office/drawing/2014/main" id="{28234626-6035-419E-8B28-27118A5D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809" name="Picture 50" descr="http://www.abs.gov.au/icons/ecblank.gif">
          <a:extLst>
            <a:ext uri="{FF2B5EF4-FFF2-40B4-BE49-F238E27FC236}">
              <a16:creationId xmlns:a16="http://schemas.microsoft.com/office/drawing/2014/main" id="{42FF2399-3E21-45C3-9A3B-204A0691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810" name="Picture 51" descr="http://www.abs.gov.au/icons/ecblank.gif">
          <a:extLst>
            <a:ext uri="{FF2B5EF4-FFF2-40B4-BE49-F238E27FC236}">
              <a16:creationId xmlns:a16="http://schemas.microsoft.com/office/drawing/2014/main" id="{2647AAA7-86C1-4E7D-A205-1FF7EC73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811" name="Picture 52" descr="http://www.abs.gov.au/icons/ecblank.gif">
          <a:extLst>
            <a:ext uri="{FF2B5EF4-FFF2-40B4-BE49-F238E27FC236}">
              <a16:creationId xmlns:a16="http://schemas.microsoft.com/office/drawing/2014/main" id="{66AD0718-9DA7-411A-8491-6A70B8D2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812" name="Picture 53" descr="http://www.abs.gov.au/icons/ecblank.gif">
          <a:extLst>
            <a:ext uri="{FF2B5EF4-FFF2-40B4-BE49-F238E27FC236}">
              <a16:creationId xmlns:a16="http://schemas.microsoft.com/office/drawing/2014/main" id="{7085747E-7E5E-43FB-8F67-C0B8720F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813" name="Picture 54" descr="http://www.abs.gov.au/icons/ecblank.gif">
          <a:extLst>
            <a:ext uri="{FF2B5EF4-FFF2-40B4-BE49-F238E27FC236}">
              <a16:creationId xmlns:a16="http://schemas.microsoft.com/office/drawing/2014/main" id="{8D5EB14E-46A4-4DFD-8DD9-FB4ED266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814" name="Picture 55" descr="http://www.abs.gov.au/icons/ecblank.gif">
          <a:extLst>
            <a:ext uri="{FF2B5EF4-FFF2-40B4-BE49-F238E27FC236}">
              <a16:creationId xmlns:a16="http://schemas.microsoft.com/office/drawing/2014/main" id="{E2A0C44E-8C9E-4CF6-8A75-FEC318D8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pic>
      <xdr:nvPicPr>
        <xdr:cNvPr id="815" name="Picture 56" descr="http://www.abs.gov.au/icons/ecblank.gif">
          <a:extLst>
            <a:ext uri="{FF2B5EF4-FFF2-40B4-BE49-F238E27FC236}">
              <a16:creationId xmlns:a16="http://schemas.microsoft.com/office/drawing/2014/main" id="{22289948-FC5A-408F-BD2C-DED27035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782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816" name="Picture 57" descr="http://www.abs.gov.au/icons/ecblank.gif">
          <a:extLst>
            <a:ext uri="{FF2B5EF4-FFF2-40B4-BE49-F238E27FC236}">
              <a16:creationId xmlns:a16="http://schemas.microsoft.com/office/drawing/2014/main" id="{5129DD1A-3DEB-4AA1-B735-92800BFA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9525</xdr:rowOff>
    </xdr:to>
    <xdr:pic>
      <xdr:nvPicPr>
        <xdr:cNvPr id="817" name="Picture 58" descr="http://www.abs.gov.au/icons/ecblank.gif">
          <a:extLst>
            <a:ext uri="{FF2B5EF4-FFF2-40B4-BE49-F238E27FC236}">
              <a16:creationId xmlns:a16="http://schemas.microsoft.com/office/drawing/2014/main" id="{E3E68AC3-A7A4-411F-A8EB-D551F0D9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963900" y="4019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18" name="Picture 39" descr="http://www.abs.gov.au/icons/ecblank.gif">
          <a:extLst>
            <a:ext uri="{FF2B5EF4-FFF2-40B4-BE49-F238E27FC236}">
              <a16:creationId xmlns:a16="http://schemas.microsoft.com/office/drawing/2014/main" id="{91F6A245-EAF9-4804-A1D4-6F1A1543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19" name="Picture 40" descr="http://www.abs.gov.au/icons/ecblank.gif">
          <a:extLst>
            <a:ext uri="{FF2B5EF4-FFF2-40B4-BE49-F238E27FC236}">
              <a16:creationId xmlns:a16="http://schemas.microsoft.com/office/drawing/2014/main" id="{144D9B86-C8BC-477F-99E0-FBE19B5B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820" name="Picture 41" descr="http://www.abs.gov.au/icons/ecblank.gif">
          <a:extLst>
            <a:ext uri="{FF2B5EF4-FFF2-40B4-BE49-F238E27FC236}">
              <a16:creationId xmlns:a16="http://schemas.microsoft.com/office/drawing/2014/main" id="{74E6C5EF-F4A8-4B73-811F-85F144BA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796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821" name="Picture 42" descr="http://www.abs.gov.au/icons/ecblank.gif">
          <a:extLst>
            <a:ext uri="{FF2B5EF4-FFF2-40B4-BE49-F238E27FC236}">
              <a16:creationId xmlns:a16="http://schemas.microsoft.com/office/drawing/2014/main" id="{7D29BCA1-3906-431A-9F91-56CF727B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796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22" name="Picture 43" descr="http://www.abs.gov.au/icons/ecblank.gif">
          <a:extLst>
            <a:ext uri="{FF2B5EF4-FFF2-40B4-BE49-F238E27FC236}">
              <a16:creationId xmlns:a16="http://schemas.microsoft.com/office/drawing/2014/main" id="{AD3609B3-07F4-4127-8039-E137B3AA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23" name="Picture 44" descr="http://www.abs.gov.au/icons/ecblank.gif">
          <a:extLst>
            <a:ext uri="{FF2B5EF4-FFF2-40B4-BE49-F238E27FC236}">
              <a16:creationId xmlns:a16="http://schemas.microsoft.com/office/drawing/2014/main" id="{8FA920B4-7B03-45AF-A137-B4ED0478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824" name="Picture 45" descr="http://www.abs.gov.au/icons/ecblank.gif">
          <a:extLst>
            <a:ext uri="{FF2B5EF4-FFF2-40B4-BE49-F238E27FC236}">
              <a16:creationId xmlns:a16="http://schemas.microsoft.com/office/drawing/2014/main" id="{4E452B24-3D6E-419E-AEA1-CF666DFB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796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825" name="Picture 46" descr="http://www.abs.gov.au/icons/ecblank.gif">
          <a:extLst>
            <a:ext uri="{FF2B5EF4-FFF2-40B4-BE49-F238E27FC236}">
              <a16:creationId xmlns:a16="http://schemas.microsoft.com/office/drawing/2014/main" id="{9512D9A8-AE40-4AB8-A8F2-9376A95E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796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26" name="Picture 47" descr="http://www.abs.gov.au/icons/ecblank.gif">
          <a:extLst>
            <a:ext uri="{FF2B5EF4-FFF2-40B4-BE49-F238E27FC236}">
              <a16:creationId xmlns:a16="http://schemas.microsoft.com/office/drawing/2014/main" id="{972365C0-60F8-481D-97E7-9C6C7E91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27" name="Picture 48" descr="http://www.abs.gov.au/icons/ecblank.gif">
          <a:extLst>
            <a:ext uri="{FF2B5EF4-FFF2-40B4-BE49-F238E27FC236}">
              <a16:creationId xmlns:a16="http://schemas.microsoft.com/office/drawing/2014/main" id="{C7955181-CD31-4107-BBC0-F74613C4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828" name="Picture 49" descr="http://www.abs.gov.au/icons/ecblank.gif">
          <a:extLst>
            <a:ext uri="{FF2B5EF4-FFF2-40B4-BE49-F238E27FC236}">
              <a16:creationId xmlns:a16="http://schemas.microsoft.com/office/drawing/2014/main" id="{D4D48EF2-CE89-411D-94AE-48686DD2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796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829" name="Picture 50" descr="http://www.abs.gov.au/icons/ecblank.gif">
          <a:extLst>
            <a:ext uri="{FF2B5EF4-FFF2-40B4-BE49-F238E27FC236}">
              <a16:creationId xmlns:a16="http://schemas.microsoft.com/office/drawing/2014/main" id="{6D3258C8-7857-4F36-B32E-BA470E9F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796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30" name="Picture 51" descr="http://www.abs.gov.au/icons/ecblank.gif">
          <a:extLst>
            <a:ext uri="{FF2B5EF4-FFF2-40B4-BE49-F238E27FC236}">
              <a16:creationId xmlns:a16="http://schemas.microsoft.com/office/drawing/2014/main" id="{62B2FBBE-0FA9-4BB2-B019-361AE09B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31" name="Picture 52" descr="http://www.abs.gov.au/icons/ecblank.gif">
          <a:extLst>
            <a:ext uri="{FF2B5EF4-FFF2-40B4-BE49-F238E27FC236}">
              <a16:creationId xmlns:a16="http://schemas.microsoft.com/office/drawing/2014/main" id="{950505D8-27A1-4489-8D8B-E7263A09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32" name="Picture 53" descr="http://www.abs.gov.au/icons/ecblank.gif">
          <a:extLst>
            <a:ext uri="{FF2B5EF4-FFF2-40B4-BE49-F238E27FC236}">
              <a16:creationId xmlns:a16="http://schemas.microsoft.com/office/drawing/2014/main" id="{8C03E4C1-71EE-4096-99BB-6720A16E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33" name="Picture 54" descr="http://www.abs.gov.au/icons/ecblank.gif">
          <a:extLst>
            <a:ext uri="{FF2B5EF4-FFF2-40B4-BE49-F238E27FC236}">
              <a16:creationId xmlns:a16="http://schemas.microsoft.com/office/drawing/2014/main" id="{846B2440-AAD6-4A5E-AEBB-517182F4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834" name="Picture 55" descr="http://www.abs.gov.au/icons/ecblank.gif">
          <a:extLst>
            <a:ext uri="{FF2B5EF4-FFF2-40B4-BE49-F238E27FC236}">
              <a16:creationId xmlns:a16="http://schemas.microsoft.com/office/drawing/2014/main" id="{E11D6733-B6A4-4BDD-93A7-F9C1014A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796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835" name="Picture 56" descr="http://www.abs.gov.au/icons/ecblank.gif">
          <a:extLst>
            <a:ext uri="{FF2B5EF4-FFF2-40B4-BE49-F238E27FC236}">
              <a16:creationId xmlns:a16="http://schemas.microsoft.com/office/drawing/2014/main" id="{07D92A7F-10FB-4E21-884B-2E8A4B8F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796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36" name="Picture 57" descr="http://www.abs.gov.au/icons/ecblank.gif">
          <a:extLst>
            <a:ext uri="{FF2B5EF4-FFF2-40B4-BE49-F238E27FC236}">
              <a16:creationId xmlns:a16="http://schemas.microsoft.com/office/drawing/2014/main" id="{E1C00FBA-AAEA-4245-B8A6-E0DD0DFF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837" name="Picture 58" descr="http://www.abs.gov.au/icons/ecblank.gif">
          <a:extLst>
            <a:ext uri="{FF2B5EF4-FFF2-40B4-BE49-F238E27FC236}">
              <a16:creationId xmlns:a16="http://schemas.microsoft.com/office/drawing/2014/main" id="{4281A206-1066-4726-A467-84FB8C3B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201900" y="3429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838" name="Picture 837" descr="http://www.abs.gov.au/icons/ecblank.gif">
          <a:extLst>
            <a:ext uri="{FF2B5EF4-FFF2-40B4-BE49-F238E27FC236}">
              <a16:creationId xmlns:a16="http://schemas.microsoft.com/office/drawing/2014/main" id="{3DD001B7-9385-4DB2-8465-6A025224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058150" y="13668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839" name="Picture 838" descr="http://www.abs.gov.au/icons/ecblank.gif">
          <a:extLst>
            <a:ext uri="{FF2B5EF4-FFF2-40B4-BE49-F238E27FC236}">
              <a16:creationId xmlns:a16="http://schemas.microsoft.com/office/drawing/2014/main" id="{72F2DCA2-8BA0-4870-9594-39DDBC93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058150" y="13668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840" name="Picture 839" descr="http://www.abs.gov.au/icons/ecblank.gif">
          <a:extLst>
            <a:ext uri="{FF2B5EF4-FFF2-40B4-BE49-F238E27FC236}">
              <a16:creationId xmlns:a16="http://schemas.microsoft.com/office/drawing/2014/main" id="{054F3FFB-51E6-49F3-B9D7-52AF1822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058150" y="162591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841" name="Picture 840" descr="http://www.abs.gov.au/icons/ecblank.gif">
          <a:extLst>
            <a:ext uri="{FF2B5EF4-FFF2-40B4-BE49-F238E27FC236}">
              <a16:creationId xmlns:a16="http://schemas.microsoft.com/office/drawing/2014/main" id="{21583F27-6020-40F4-BCFE-8C76E200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058150" y="162591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842" name="Picture 841" descr="http://www.abs.gov.au/icons/ecblank.gif">
          <a:extLst>
            <a:ext uri="{FF2B5EF4-FFF2-40B4-BE49-F238E27FC236}">
              <a16:creationId xmlns:a16="http://schemas.microsoft.com/office/drawing/2014/main" id="{43775286-4453-4AFE-A520-38AE6A5D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058150" y="13668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843" name="Picture 842" descr="http://www.abs.gov.au/icons/ecblank.gif">
          <a:extLst>
            <a:ext uri="{FF2B5EF4-FFF2-40B4-BE49-F238E27FC236}">
              <a16:creationId xmlns:a16="http://schemas.microsoft.com/office/drawing/2014/main" id="{52D89B84-1444-4763-8788-0671D4F6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058150" y="13668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844" name="Picture 843" descr="http://www.abs.gov.au/icons/ecblank.gif">
          <a:extLst>
            <a:ext uri="{FF2B5EF4-FFF2-40B4-BE49-F238E27FC236}">
              <a16:creationId xmlns:a16="http://schemas.microsoft.com/office/drawing/2014/main" id="{0375C370-603F-44F3-89A2-2E377857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058150" y="162591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845" name="Picture 844" descr="http://www.abs.gov.au/icons/ecblank.gif">
          <a:extLst>
            <a:ext uri="{FF2B5EF4-FFF2-40B4-BE49-F238E27FC236}">
              <a16:creationId xmlns:a16="http://schemas.microsoft.com/office/drawing/2014/main" id="{BC9997B5-31DD-4512-8225-0EAD6B87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058150" y="162591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9525</xdr:colOff>
      <xdr:row>80</xdr:row>
      <xdr:rowOff>9525</xdr:rowOff>
    </xdr:to>
    <xdr:pic>
      <xdr:nvPicPr>
        <xdr:cNvPr id="846" name="Picture 845" descr="http://www.abs.gov.au/icons/ecblank.gif">
          <a:extLst>
            <a:ext uri="{FF2B5EF4-FFF2-40B4-BE49-F238E27FC236}">
              <a16:creationId xmlns:a16="http://schemas.microsoft.com/office/drawing/2014/main" id="{8FF70922-0D1B-492A-A31C-6AE85D41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01275" y="13830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9525</xdr:colOff>
      <xdr:row>80</xdr:row>
      <xdr:rowOff>9525</xdr:rowOff>
    </xdr:to>
    <xdr:pic>
      <xdr:nvPicPr>
        <xdr:cNvPr id="847" name="Picture 846" descr="http://www.abs.gov.au/icons/ecblank.gif">
          <a:extLst>
            <a:ext uri="{FF2B5EF4-FFF2-40B4-BE49-F238E27FC236}">
              <a16:creationId xmlns:a16="http://schemas.microsoft.com/office/drawing/2014/main" id="{7443087A-90CF-4E5B-8F2D-42DDF429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01275" y="13830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9525</xdr:colOff>
      <xdr:row>96</xdr:row>
      <xdr:rowOff>9525</xdr:rowOff>
    </xdr:to>
    <xdr:pic>
      <xdr:nvPicPr>
        <xdr:cNvPr id="848" name="Picture 847" descr="http://www.abs.gov.au/icons/ecblank.gif">
          <a:extLst>
            <a:ext uri="{FF2B5EF4-FFF2-40B4-BE49-F238E27FC236}">
              <a16:creationId xmlns:a16="http://schemas.microsoft.com/office/drawing/2014/main" id="{0E92D49C-777C-4435-803D-C3B8835A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01275" y="16421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96</xdr:row>
      <xdr:rowOff>0</xdr:rowOff>
    </xdr:from>
    <xdr:to>
      <xdr:col>14</xdr:col>
      <xdr:colOff>9525</xdr:colOff>
      <xdr:row>96</xdr:row>
      <xdr:rowOff>9525</xdr:rowOff>
    </xdr:to>
    <xdr:pic>
      <xdr:nvPicPr>
        <xdr:cNvPr id="849" name="Picture 848" descr="http://www.abs.gov.au/icons/ecblank.gif">
          <a:extLst>
            <a:ext uri="{FF2B5EF4-FFF2-40B4-BE49-F238E27FC236}">
              <a16:creationId xmlns:a16="http://schemas.microsoft.com/office/drawing/2014/main" id="{FDF06EFB-A5B8-4778-BD30-23C032D2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01275" y="16421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850" name="Picture 849" descr="http://www.abs.gov.au/icons/ecblank.gif">
          <a:extLst>
            <a:ext uri="{FF2B5EF4-FFF2-40B4-BE49-F238E27FC236}">
              <a16:creationId xmlns:a16="http://schemas.microsoft.com/office/drawing/2014/main" id="{C80A43AC-3578-473D-85EC-FE18DC4E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830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851" name="Picture 850" descr="http://www.abs.gov.au/icons/ecblank.gif">
          <a:extLst>
            <a:ext uri="{FF2B5EF4-FFF2-40B4-BE49-F238E27FC236}">
              <a16:creationId xmlns:a16="http://schemas.microsoft.com/office/drawing/2014/main" id="{E9F03FDE-7EE4-45F6-B05D-5B7BC3A0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830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852" name="Picture 851" descr="http://www.abs.gov.au/icons/ecblank.gif">
          <a:extLst>
            <a:ext uri="{FF2B5EF4-FFF2-40B4-BE49-F238E27FC236}">
              <a16:creationId xmlns:a16="http://schemas.microsoft.com/office/drawing/2014/main" id="{E4C6FE0D-8218-4971-9329-CD62D40F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21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853" name="Picture 852" descr="http://www.abs.gov.au/icons/ecblank.gif">
          <a:extLst>
            <a:ext uri="{FF2B5EF4-FFF2-40B4-BE49-F238E27FC236}">
              <a16:creationId xmlns:a16="http://schemas.microsoft.com/office/drawing/2014/main" id="{8E714CBA-5CE7-438D-B189-F53C5358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21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854" name="Picture 853" descr="http://www.abs.gov.au/icons/ecblank.gif">
          <a:extLst>
            <a:ext uri="{FF2B5EF4-FFF2-40B4-BE49-F238E27FC236}">
              <a16:creationId xmlns:a16="http://schemas.microsoft.com/office/drawing/2014/main" id="{D169708B-5394-445E-A5E5-155ED14F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830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855" name="Picture 854" descr="http://www.abs.gov.au/icons/ecblank.gif">
          <a:extLst>
            <a:ext uri="{FF2B5EF4-FFF2-40B4-BE49-F238E27FC236}">
              <a16:creationId xmlns:a16="http://schemas.microsoft.com/office/drawing/2014/main" id="{2EE1511A-ADAD-4808-A97D-4D1C0663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830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856" name="Picture 855" descr="http://www.abs.gov.au/icons/ecblank.gif">
          <a:extLst>
            <a:ext uri="{FF2B5EF4-FFF2-40B4-BE49-F238E27FC236}">
              <a16:creationId xmlns:a16="http://schemas.microsoft.com/office/drawing/2014/main" id="{B89A8A10-285C-4D28-9DAF-B3BBE2DC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21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857" name="Picture 856" descr="http://www.abs.gov.au/icons/ecblank.gif">
          <a:extLst>
            <a:ext uri="{FF2B5EF4-FFF2-40B4-BE49-F238E27FC236}">
              <a16:creationId xmlns:a16="http://schemas.microsoft.com/office/drawing/2014/main" id="{A7AFE0DF-56E8-426A-96CF-3458C52D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21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858" name="Picture 857" descr="http://www.abs.gov.au/icons/ecblank.gif">
          <a:extLst>
            <a:ext uri="{FF2B5EF4-FFF2-40B4-BE49-F238E27FC236}">
              <a16:creationId xmlns:a16="http://schemas.microsoft.com/office/drawing/2014/main" id="{07D04CED-0399-4526-AF13-03FB2D47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830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859" name="Picture 858" descr="http://www.abs.gov.au/icons/ecblank.gif">
          <a:extLst>
            <a:ext uri="{FF2B5EF4-FFF2-40B4-BE49-F238E27FC236}">
              <a16:creationId xmlns:a16="http://schemas.microsoft.com/office/drawing/2014/main" id="{11CABBEE-FBDA-4780-BEC9-E836B64A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830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860" name="Picture 859" descr="http://www.abs.gov.au/icons/ecblank.gif">
          <a:extLst>
            <a:ext uri="{FF2B5EF4-FFF2-40B4-BE49-F238E27FC236}">
              <a16:creationId xmlns:a16="http://schemas.microsoft.com/office/drawing/2014/main" id="{C0638C22-A465-4ABA-9D84-CDCA4090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830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861" name="Picture 860" descr="http://www.abs.gov.au/icons/ecblank.gif">
          <a:extLst>
            <a:ext uri="{FF2B5EF4-FFF2-40B4-BE49-F238E27FC236}">
              <a16:creationId xmlns:a16="http://schemas.microsoft.com/office/drawing/2014/main" id="{62A3B2EF-97D6-40EE-992D-66CA8FD6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830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862" name="Picture 861" descr="http://www.abs.gov.au/icons/ecblank.gif">
          <a:extLst>
            <a:ext uri="{FF2B5EF4-FFF2-40B4-BE49-F238E27FC236}">
              <a16:creationId xmlns:a16="http://schemas.microsoft.com/office/drawing/2014/main" id="{44E9CB2F-6CD9-4D09-9E4D-829EFFB4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21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96</xdr:row>
      <xdr:rowOff>0</xdr:rowOff>
    </xdr:from>
    <xdr:to>
      <xdr:col>15</xdr:col>
      <xdr:colOff>0</xdr:colOff>
      <xdr:row>96</xdr:row>
      <xdr:rowOff>9525</xdr:rowOff>
    </xdr:to>
    <xdr:pic>
      <xdr:nvPicPr>
        <xdr:cNvPr id="863" name="Picture 862" descr="http://www.abs.gov.au/icons/ecblank.gif">
          <a:extLst>
            <a:ext uri="{FF2B5EF4-FFF2-40B4-BE49-F238E27FC236}">
              <a16:creationId xmlns:a16="http://schemas.microsoft.com/office/drawing/2014/main" id="{553E1A1D-6F2A-4631-A429-11FC7D94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421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864" name="Picture 863" descr="http://www.abs.gov.au/icons/ecblank.gif">
          <a:extLst>
            <a:ext uri="{FF2B5EF4-FFF2-40B4-BE49-F238E27FC236}">
              <a16:creationId xmlns:a16="http://schemas.microsoft.com/office/drawing/2014/main" id="{87880395-414D-4F1F-B654-654880A0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830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80</xdr:row>
      <xdr:rowOff>0</xdr:rowOff>
    </xdr:from>
    <xdr:to>
      <xdr:col>15</xdr:col>
      <xdr:colOff>0</xdr:colOff>
      <xdr:row>80</xdr:row>
      <xdr:rowOff>9525</xdr:rowOff>
    </xdr:to>
    <xdr:pic>
      <xdr:nvPicPr>
        <xdr:cNvPr id="865" name="Picture 864" descr="http://www.abs.gov.au/icons/ecblank.gif">
          <a:extLst>
            <a:ext uri="{FF2B5EF4-FFF2-40B4-BE49-F238E27FC236}">
              <a16:creationId xmlns:a16="http://schemas.microsoft.com/office/drawing/2014/main" id="{1E5298E1-584D-4B78-AF66-A38DE2A3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830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866" name="Picture 865" descr="http://www.abs.gov.au/icons/ecblank.gif">
          <a:extLst>
            <a:ext uri="{FF2B5EF4-FFF2-40B4-BE49-F238E27FC236}">
              <a16:creationId xmlns:a16="http://schemas.microsoft.com/office/drawing/2014/main" id="{C4053B2F-CD85-46B7-A9B4-A4EC8553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4154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867" name="Picture 866" descr="http://www.abs.gov.au/icons/ecblank.gif">
          <a:extLst>
            <a:ext uri="{FF2B5EF4-FFF2-40B4-BE49-F238E27FC236}">
              <a16:creationId xmlns:a16="http://schemas.microsoft.com/office/drawing/2014/main" id="{48B4E9BE-9930-485B-AE84-F6CEA56B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4154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868" name="Picture 867" descr="http://www.abs.gov.au/icons/ecblank.gif">
          <a:extLst>
            <a:ext uri="{FF2B5EF4-FFF2-40B4-BE49-F238E27FC236}">
              <a16:creationId xmlns:a16="http://schemas.microsoft.com/office/drawing/2014/main" id="{CA02D88F-E0CB-42D0-9A67-92458672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744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869" name="Picture 868" descr="http://www.abs.gov.au/icons/ecblank.gif">
          <a:extLst>
            <a:ext uri="{FF2B5EF4-FFF2-40B4-BE49-F238E27FC236}">
              <a16:creationId xmlns:a16="http://schemas.microsoft.com/office/drawing/2014/main" id="{4C16F1C5-83F4-4715-A958-1C788FA8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744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870" name="Picture 869" descr="http://www.abs.gov.au/icons/ecblank.gif">
          <a:extLst>
            <a:ext uri="{FF2B5EF4-FFF2-40B4-BE49-F238E27FC236}">
              <a16:creationId xmlns:a16="http://schemas.microsoft.com/office/drawing/2014/main" id="{98761A7F-C244-4F93-B284-DD411C52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4154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871" name="Picture 870" descr="http://www.abs.gov.au/icons/ecblank.gif">
          <a:extLst>
            <a:ext uri="{FF2B5EF4-FFF2-40B4-BE49-F238E27FC236}">
              <a16:creationId xmlns:a16="http://schemas.microsoft.com/office/drawing/2014/main" id="{AADD567E-4912-43BB-90CD-74BD547C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4154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872" name="Picture 871" descr="http://www.abs.gov.au/icons/ecblank.gif">
          <a:extLst>
            <a:ext uri="{FF2B5EF4-FFF2-40B4-BE49-F238E27FC236}">
              <a16:creationId xmlns:a16="http://schemas.microsoft.com/office/drawing/2014/main" id="{9C00BB2C-3BD6-45F0-A9FC-994146E9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744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873" name="Picture 872" descr="http://www.abs.gov.au/icons/ecblank.gif">
          <a:extLst>
            <a:ext uri="{FF2B5EF4-FFF2-40B4-BE49-F238E27FC236}">
              <a16:creationId xmlns:a16="http://schemas.microsoft.com/office/drawing/2014/main" id="{1FCA5FFB-4C0F-459B-BDD0-252F5D54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744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874" name="Picture 108" descr="http://www.abs.gov.au/icons/ecblank.gif">
          <a:extLst>
            <a:ext uri="{FF2B5EF4-FFF2-40B4-BE49-F238E27FC236}">
              <a16:creationId xmlns:a16="http://schemas.microsoft.com/office/drawing/2014/main" id="{5447F39E-E2D1-45AD-A84A-9E973D10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4154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82</xdr:row>
      <xdr:rowOff>0</xdr:rowOff>
    </xdr:from>
    <xdr:to>
      <xdr:col>15</xdr:col>
      <xdr:colOff>0</xdr:colOff>
      <xdr:row>82</xdr:row>
      <xdr:rowOff>9525</xdr:rowOff>
    </xdr:to>
    <xdr:pic>
      <xdr:nvPicPr>
        <xdr:cNvPr id="875" name="Picture 109" descr="http://www.abs.gov.au/icons/ecblank.gif">
          <a:extLst>
            <a:ext uri="{FF2B5EF4-FFF2-40B4-BE49-F238E27FC236}">
              <a16:creationId xmlns:a16="http://schemas.microsoft.com/office/drawing/2014/main" id="{33940E7C-EB4D-4DE5-9CF9-8F1E5D8D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4154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876" name="Picture 110" descr="http://www.abs.gov.au/icons/ecblank.gif">
          <a:extLst>
            <a:ext uri="{FF2B5EF4-FFF2-40B4-BE49-F238E27FC236}">
              <a16:creationId xmlns:a16="http://schemas.microsoft.com/office/drawing/2014/main" id="{CB2449FB-AD51-47DD-8BA5-289925B7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744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98</xdr:row>
      <xdr:rowOff>0</xdr:rowOff>
    </xdr:from>
    <xdr:to>
      <xdr:col>15</xdr:col>
      <xdr:colOff>0</xdr:colOff>
      <xdr:row>98</xdr:row>
      <xdr:rowOff>9525</xdr:rowOff>
    </xdr:to>
    <xdr:pic>
      <xdr:nvPicPr>
        <xdr:cNvPr id="877" name="Picture 111" descr="http://www.abs.gov.au/icons/ecblank.gif">
          <a:extLst>
            <a:ext uri="{FF2B5EF4-FFF2-40B4-BE49-F238E27FC236}">
              <a16:creationId xmlns:a16="http://schemas.microsoft.com/office/drawing/2014/main" id="{6B02F091-A4D7-4E0C-BD28-477F2D6C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744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878" name="Picture 877" descr="http://www.abs.gov.au/icons/ecblank.gif">
          <a:extLst>
            <a:ext uri="{FF2B5EF4-FFF2-40B4-BE49-F238E27FC236}">
              <a16:creationId xmlns:a16="http://schemas.microsoft.com/office/drawing/2014/main" id="{0959315F-F6AE-46CD-A92A-39D48489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992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879" name="Picture 878" descr="http://www.abs.gov.au/icons/ecblank.gif">
          <a:extLst>
            <a:ext uri="{FF2B5EF4-FFF2-40B4-BE49-F238E27FC236}">
              <a16:creationId xmlns:a16="http://schemas.microsoft.com/office/drawing/2014/main" id="{6B78D13C-F9AF-482A-A6C4-E9F05383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992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880" name="Picture 879" descr="http://www.abs.gov.au/icons/ecblank.gif">
          <a:extLst>
            <a:ext uri="{FF2B5EF4-FFF2-40B4-BE49-F238E27FC236}">
              <a16:creationId xmlns:a16="http://schemas.microsoft.com/office/drawing/2014/main" id="{1697310F-B5B4-4956-8538-D4EDA5EA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583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881" name="Picture 880" descr="http://www.abs.gov.au/icons/ecblank.gif">
          <a:extLst>
            <a:ext uri="{FF2B5EF4-FFF2-40B4-BE49-F238E27FC236}">
              <a16:creationId xmlns:a16="http://schemas.microsoft.com/office/drawing/2014/main" id="{AA80818D-DC4E-45DD-ABD6-E7359E8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583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882" name="Picture 881" descr="http://www.abs.gov.au/icons/ecblank.gif">
          <a:extLst>
            <a:ext uri="{FF2B5EF4-FFF2-40B4-BE49-F238E27FC236}">
              <a16:creationId xmlns:a16="http://schemas.microsoft.com/office/drawing/2014/main" id="{06310915-1AF9-4F21-9C1F-BB95CB7C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992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883" name="Picture 882" descr="http://www.abs.gov.au/icons/ecblank.gif">
          <a:extLst>
            <a:ext uri="{FF2B5EF4-FFF2-40B4-BE49-F238E27FC236}">
              <a16:creationId xmlns:a16="http://schemas.microsoft.com/office/drawing/2014/main" id="{4F8981EA-677D-4F53-99BB-03FBDF25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992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884" name="Picture 883" descr="http://www.abs.gov.au/icons/ecblank.gif">
          <a:extLst>
            <a:ext uri="{FF2B5EF4-FFF2-40B4-BE49-F238E27FC236}">
              <a16:creationId xmlns:a16="http://schemas.microsoft.com/office/drawing/2014/main" id="{910BB8B5-33B3-418D-A775-64C5AA32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583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885" name="Picture 884" descr="http://www.abs.gov.au/icons/ecblank.gif">
          <a:extLst>
            <a:ext uri="{FF2B5EF4-FFF2-40B4-BE49-F238E27FC236}">
              <a16:creationId xmlns:a16="http://schemas.microsoft.com/office/drawing/2014/main" id="{A12CDF8D-904C-4B90-8113-5AAF8C12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583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886" name="Picture 108" descr="http://www.abs.gov.au/icons/ecblank.gif">
          <a:extLst>
            <a:ext uri="{FF2B5EF4-FFF2-40B4-BE49-F238E27FC236}">
              <a16:creationId xmlns:a16="http://schemas.microsoft.com/office/drawing/2014/main" id="{72D40B50-CF21-400B-B361-F2BFA6FD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992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9525</xdr:rowOff>
    </xdr:to>
    <xdr:pic>
      <xdr:nvPicPr>
        <xdr:cNvPr id="887" name="Picture 109" descr="http://www.abs.gov.au/icons/ecblank.gif">
          <a:extLst>
            <a:ext uri="{FF2B5EF4-FFF2-40B4-BE49-F238E27FC236}">
              <a16:creationId xmlns:a16="http://schemas.microsoft.com/office/drawing/2014/main" id="{519F7FA2-E6F4-4995-AF06-E917AEF8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3992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888" name="Picture 110" descr="http://www.abs.gov.au/icons/ecblank.gif">
          <a:extLst>
            <a:ext uri="{FF2B5EF4-FFF2-40B4-BE49-F238E27FC236}">
              <a16:creationId xmlns:a16="http://schemas.microsoft.com/office/drawing/2014/main" id="{194547E3-195C-486C-9B7E-F4BE5E18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583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97</xdr:row>
      <xdr:rowOff>0</xdr:rowOff>
    </xdr:from>
    <xdr:to>
      <xdr:col>15</xdr:col>
      <xdr:colOff>0</xdr:colOff>
      <xdr:row>97</xdr:row>
      <xdr:rowOff>9525</xdr:rowOff>
    </xdr:to>
    <xdr:pic>
      <xdr:nvPicPr>
        <xdr:cNvPr id="889" name="Picture 111" descr="http://www.abs.gov.au/icons/ecblank.gif">
          <a:extLst>
            <a:ext uri="{FF2B5EF4-FFF2-40B4-BE49-F238E27FC236}">
              <a16:creationId xmlns:a16="http://schemas.microsoft.com/office/drawing/2014/main" id="{ABADC14A-6CB3-4948-90BA-C39BC0F2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915650" y="16583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10</xdr:row>
      <xdr:rowOff>57150</xdr:rowOff>
    </xdr:from>
    <xdr:to>
      <xdr:col>20</xdr:col>
      <xdr:colOff>247650</xdr:colOff>
      <xdr:row>28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79130A-39DD-4946-A2BA-B98647B1C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26</xdr:col>
      <xdr:colOff>452124</xdr:colOff>
      <xdr:row>62</xdr:row>
      <xdr:rowOff>125881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D3E33F99-F316-4D76-B5B4-E2185C00A6DA}"/>
            </a:ext>
          </a:extLst>
        </xdr:cNvPr>
        <xdr:cNvGrpSpPr/>
      </xdr:nvGrpSpPr>
      <xdr:grpSpPr>
        <a:xfrm>
          <a:off x="9572625" y="4552950"/>
          <a:ext cx="8376924" cy="5183656"/>
          <a:chOff x="251520" y="332656"/>
          <a:chExt cx="8376924" cy="5079910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B56B760B-7223-4740-9400-6B2D9DD07CCE}"/>
              </a:ext>
            </a:extLst>
          </xdr:cNvPr>
          <xdr:cNvGrpSpPr/>
        </xdr:nvGrpSpPr>
        <xdr:grpSpPr>
          <a:xfrm>
            <a:off x="616711" y="1105708"/>
            <a:ext cx="8011733" cy="4306858"/>
            <a:chOff x="865943" y="1077662"/>
            <a:chExt cx="8011733" cy="4306858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67F575CF-2DFC-447A-A8E7-08D434D47155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865943" y="1077662"/>
              <a:ext cx="3181818" cy="4306858"/>
              <a:chOff x="0" y="0"/>
              <a:chExt cx="2394689" cy="3294366"/>
            </a:xfrm>
            <a:solidFill>
              <a:schemeClr val="tx1">
                <a:lumMod val="75000"/>
                <a:lumOff val="25000"/>
              </a:schemeClr>
            </a:solidFill>
            <a:effectLst/>
          </xdr:grpSpPr>
          <xdr:sp macro="" textlink="">
            <xdr:nvSpPr>
              <xdr:cNvPr id="27" name="Trapezoid 26">
                <a:extLst>
                  <a:ext uri="{FF2B5EF4-FFF2-40B4-BE49-F238E27FC236}">
                    <a16:creationId xmlns:a16="http://schemas.microsoft.com/office/drawing/2014/main" id="{43E13E68-3E2F-4889-9A2D-810745D0B800}"/>
                  </a:ext>
                </a:extLst>
              </xdr:cNvPr>
              <xdr:cNvSpPr/>
            </xdr:nvSpPr>
            <xdr:spPr>
              <a:xfrm rot="10800000">
                <a:off x="306457" y="90010"/>
                <a:ext cx="2016224" cy="3168352"/>
              </a:xfrm>
              <a:prstGeom prst="trapezoid">
                <a:avLst>
                  <a:gd name="adj" fmla="val 6373"/>
                </a:avLst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28" name="Oval 27">
                <a:extLst>
                  <a:ext uri="{FF2B5EF4-FFF2-40B4-BE49-F238E27FC236}">
                    <a16:creationId xmlns:a16="http://schemas.microsoft.com/office/drawing/2014/main" id="{2E45CC74-7988-44FA-BDF5-02FEE8405F88}"/>
                  </a:ext>
                </a:extLst>
              </xdr:cNvPr>
              <xdr:cNvSpPr/>
            </xdr:nvSpPr>
            <xdr:spPr>
              <a:xfrm>
                <a:off x="207977" y="2574286"/>
                <a:ext cx="720081" cy="720080"/>
              </a:xfrm>
              <a:prstGeom prst="ellipse">
                <a:avLst/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29" name="Oval 28">
                <a:extLst>
                  <a:ext uri="{FF2B5EF4-FFF2-40B4-BE49-F238E27FC236}">
                    <a16:creationId xmlns:a16="http://schemas.microsoft.com/office/drawing/2014/main" id="{D6E49A87-43D8-4972-A7F2-918F58F60962}"/>
                  </a:ext>
                </a:extLst>
              </xdr:cNvPr>
              <xdr:cNvSpPr/>
            </xdr:nvSpPr>
            <xdr:spPr>
              <a:xfrm>
                <a:off x="460900" y="2826314"/>
                <a:ext cx="214131" cy="216024"/>
              </a:xfrm>
              <a:prstGeom prst="ellipse">
                <a:avLst/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30" name="Snip and Round Single Corner Rectangle 19">
                <a:extLst>
                  <a:ext uri="{FF2B5EF4-FFF2-40B4-BE49-F238E27FC236}">
                    <a16:creationId xmlns:a16="http://schemas.microsoft.com/office/drawing/2014/main" id="{193935EE-8DB0-47D2-9EDD-3DB50D8653D4}"/>
                  </a:ext>
                </a:extLst>
              </xdr:cNvPr>
              <xdr:cNvSpPr/>
            </xdr:nvSpPr>
            <xdr:spPr>
              <a:xfrm>
                <a:off x="90433" y="18002"/>
                <a:ext cx="2304256" cy="288032"/>
              </a:xfrm>
              <a:prstGeom prst="snipRoundRect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accent4">
                  <a:shade val="50000"/>
                </a:schemeClr>
              </a:lnRef>
              <a:fillRef idx="1">
                <a:schemeClr val="accent4"/>
              </a:fillRef>
              <a:effectRef idx="0">
                <a:schemeClr val="accent4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31" name="Oval 30">
                <a:extLst>
                  <a:ext uri="{FF2B5EF4-FFF2-40B4-BE49-F238E27FC236}">
                    <a16:creationId xmlns:a16="http://schemas.microsoft.com/office/drawing/2014/main" id="{C226B30B-D8D1-4492-9A61-529C39B6AB9C}"/>
                  </a:ext>
                </a:extLst>
              </xdr:cNvPr>
              <xdr:cNvSpPr/>
            </xdr:nvSpPr>
            <xdr:spPr>
              <a:xfrm>
                <a:off x="0" y="0"/>
                <a:ext cx="306456" cy="324036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32" name="Oval 31">
                <a:extLst>
                  <a:ext uri="{FF2B5EF4-FFF2-40B4-BE49-F238E27FC236}">
                    <a16:creationId xmlns:a16="http://schemas.microsoft.com/office/drawing/2014/main" id="{791DCC2F-7AEA-4609-99E2-4D4644F3DF5E}"/>
                  </a:ext>
                </a:extLst>
              </xdr:cNvPr>
              <xdr:cNvSpPr/>
            </xdr:nvSpPr>
            <xdr:spPr>
              <a:xfrm>
                <a:off x="99695" y="116519"/>
                <a:ext cx="107065" cy="108012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8AF36667-77B8-458B-80C5-E653DACFFCB1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4347016" y="2748294"/>
              <a:ext cx="1960874" cy="2636226"/>
              <a:chOff x="1594402" y="340393"/>
              <a:chExt cx="2394689" cy="3294366"/>
            </a:xfrm>
          </xdr:grpSpPr>
          <xdr:sp macro="" textlink="">
            <xdr:nvSpPr>
              <xdr:cNvPr id="21" name="Trapezoid 20">
                <a:extLst>
                  <a:ext uri="{FF2B5EF4-FFF2-40B4-BE49-F238E27FC236}">
                    <a16:creationId xmlns:a16="http://schemas.microsoft.com/office/drawing/2014/main" id="{09E53A23-D285-472A-997A-A7BCA66120A2}"/>
                  </a:ext>
                </a:extLst>
              </xdr:cNvPr>
              <xdr:cNvSpPr/>
            </xdr:nvSpPr>
            <xdr:spPr>
              <a:xfrm rot="10800000">
                <a:off x="1900859" y="430403"/>
                <a:ext cx="2016224" cy="3168352"/>
              </a:xfrm>
              <a:prstGeom prst="trapezoid">
                <a:avLst>
                  <a:gd name="adj" fmla="val 6373"/>
                </a:avLst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22" name="Oval 21">
                <a:extLst>
                  <a:ext uri="{FF2B5EF4-FFF2-40B4-BE49-F238E27FC236}">
                    <a16:creationId xmlns:a16="http://schemas.microsoft.com/office/drawing/2014/main" id="{A82678CC-89A2-4D73-99F3-3C22BBE420FE}"/>
                  </a:ext>
                </a:extLst>
              </xdr:cNvPr>
              <xdr:cNvSpPr/>
            </xdr:nvSpPr>
            <xdr:spPr>
              <a:xfrm>
                <a:off x="1802379" y="2914679"/>
                <a:ext cx="720081" cy="720080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23" name="Oval 22">
                <a:extLst>
                  <a:ext uri="{FF2B5EF4-FFF2-40B4-BE49-F238E27FC236}">
                    <a16:creationId xmlns:a16="http://schemas.microsoft.com/office/drawing/2014/main" id="{40DB0469-B5A8-47D7-A929-D1D652A2050F}"/>
                  </a:ext>
                </a:extLst>
              </xdr:cNvPr>
              <xdr:cNvSpPr/>
            </xdr:nvSpPr>
            <xdr:spPr>
              <a:xfrm>
                <a:off x="2055302" y="3166707"/>
                <a:ext cx="214131" cy="216024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24" name="Snip and Round Single Corner Rectangle 13">
                <a:extLst>
                  <a:ext uri="{FF2B5EF4-FFF2-40B4-BE49-F238E27FC236}">
                    <a16:creationId xmlns:a16="http://schemas.microsoft.com/office/drawing/2014/main" id="{71A951D4-3AAD-48DB-B334-FFA36EDEF85C}"/>
                  </a:ext>
                </a:extLst>
              </xdr:cNvPr>
              <xdr:cNvSpPr/>
            </xdr:nvSpPr>
            <xdr:spPr>
              <a:xfrm>
                <a:off x="1684835" y="358395"/>
                <a:ext cx="2304256" cy="288032"/>
              </a:xfrm>
              <a:prstGeom prst="snipRoundRect">
                <a:avLst/>
              </a:prstGeom>
              <a:solidFill>
                <a:srgbClr val="FFFF00"/>
              </a:solidFill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25" name="Oval 24">
                <a:extLst>
                  <a:ext uri="{FF2B5EF4-FFF2-40B4-BE49-F238E27FC236}">
                    <a16:creationId xmlns:a16="http://schemas.microsoft.com/office/drawing/2014/main" id="{D534FE6E-702B-48D6-A120-B4FD9E7D2B4D}"/>
                  </a:ext>
                </a:extLst>
              </xdr:cNvPr>
              <xdr:cNvSpPr/>
            </xdr:nvSpPr>
            <xdr:spPr>
              <a:xfrm>
                <a:off x="1594402" y="340393"/>
                <a:ext cx="306456" cy="324036"/>
              </a:xfrm>
              <a:prstGeom prst="ellipse">
                <a:avLst/>
              </a:prstGeom>
              <a:ln/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26" name="Oval 25">
                <a:extLst>
                  <a:ext uri="{FF2B5EF4-FFF2-40B4-BE49-F238E27FC236}">
                    <a16:creationId xmlns:a16="http://schemas.microsoft.com/office/drawing/2014/main" id="{CA592020-A829-4AE3-A3DD-F96C1E2E4179}"/>
                  </a:ext>
                </a:extLst>
              </xdr:cNvPr>
              <xdr:cNvSpPr/>
            </xdr:nvSpPr>
            <xdr:spPr>
              <a:xfrm>
                <a:off x="1694097" y="456912"/>
                <a:ext cx="107065" cy="108012"/>
              </a:xfrm>
              <a:prstGeom prst="ellipse">
                <a:avLst/>
              </a:prstGeom>
              <a:ln/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F0E5FC3B-41A1-4DFF-920A-168E7B5C88DF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6738604" y="2836222"/>
              <a:ext cx="1889840" cy="2548297"/>
              <a:chOff x="2731051" y="334043"/>
              <a:chExt cx="2394689" cy="3294366"/>
            </a:xfrm>
          </xdr:grpSpPr>
          <xdr:sp macro="" textlink="">
            <xdr:nvSpPr>
              <xdr:cNvPr id="15" name="Trapezoid 14">
                <a:extLst>
                  <a:ext uri="{FF2B5EF4-FFF2-40B4-BE49-F238E27FC236}">
                    <a16:creationId xmlns:a16="http://schemas.microsoft.com/office/drawing/2014/main" id="{97FB1EAB-281F-4DB5-AA59-094E7BCB452E}"/>
                  </a:ext>
                </a:extLst>
              </xdr:cNvPr>
              <xdr:cNvSpPr/>
            </xdr:nvSpPr>
            <xdr:spPr>
              <a:xfrm rot="10800000">
                <a:off x="3037508" y="424053"/>
                <a:ext cx="2016224" cy="3168352"/>
              </a:xfrm>
              <a:prstGeom prst="trapezoid">
                <a:avLst>
                  <a:gd name="adj" fmla="val 6373"/>
                </a:avLst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6" name="Oval 15">
                <a:extLst>
                  <a:ext uri="{FF2B5EF4-FFF2-40B4-BE49-F238E27FC236}">
                    <a16:creationId xmlns:a16="http://schemas.microsoft.com/office/drawing/2014/main" id="{48C40085-5274-46BA-9E4A-0004ABA0C23D}"/>
                  </a:ext>
                </a:extLst>
              </xdr:cNvPr>
              <xdr:cNvSpPr/>
            </xdr:nvSpPr>
            <xdr:spPr>
              <a:xfrm>
                <a:off x="2939028" y="2908329"/>
                <a:ext cx="720081" cy="720080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7" name="Oval 16">
                <a:extLst>
                  <a:ext uri="{FF2B5EF4-FFF2-40B4-BE49-F238E27FC236}">
                    <a16:creationId xmlns:a16="http://schemas.microsoft.com/office/drawing/2014/main" id="{A427D484-0EAC-42BF-B77D-644B630A7022}"/>
                  </a:ext>
                </a:extLst>
              </xdr:cNvPr>
              <xdr:cNvSpPr/>
            </xdr:nvSpPr>
            <xdr:spPr>
              <a:xfrm>
                <a:off x="3191951" y="3160357"/>
                <a:ext cx="214131" cy="216024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8" name="Snip and Round Single Corner Rectangle 7">
                <a:extLst>
                  <a:ext uri="{FF2B5EF4-FFF2-40B4-BE49-F238E27FC236}">
                    <a16:creationId xmlns:a16="http://schemas.microsoft.com/office/drawing/2014/main" id="{E0DB9BD9-1361-44E9-B8D1-8BB2E92159A1}"/>
                  </a:ext>
                </a:extLst>
              </xdr:cNvPr>
              <xdr:cNvSpPr/>
            </xdr:nvSpPr>
            <xdr:spPr>
              <a:xfrm>
                <a:off x="2821484" y="352045"/>
                <a:ext cx="2304256" cy="288032"/>
              </a:xfrm>
              <a:prstGeom prst="snipRoundRect">
                <a:avLst/>
              </a:prstGeom>
              <a:solidFill>
                <a:schemeClr val="accent3"/>
              </a:solidFill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9" name="Oval 18">
                <a:extLst>
                  <a:ext uri="{FF2B5EF4-FFF2-40B4-BE49-F238E27FC236}">
                    <a16:creationId xmlns:a16="http://schemas.microsoft.com/office/drawing/2014/main" id="{C8733E08-ACC3-400F-9BAF-07EDBC4B9633}"/>
                  </a:ext>
                </a:extLst>
              </xdr:cNvPr>
              <xdr:cNvSpPr/>
            </xdr:nvSpPr>
            <xdr:spPr>
              <a:xfrm>
                <a:off x="2731051" y="334043"/>
                <a:ext cx="306456" cy="324036"/>
              </a:xfrm>
              <a:prstGeom prst="ellipse">
                <a:avLst/>
              </a:prstGeom>
              <a:ln/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20" name="Oval 19">
                <a:extLst>
                  <a:ext uri="{FF2B5EF4-FFF2-40B4-BE49-F238E27FC236}">
                    <a16:creationId xmlns:a16="http://schemas.microsoft.com/office/drawing/2014/main" id="{BA690B9F-8B45-4D64-8757-73596D0463E2}"/>
                  </a:ext>
                </a:extLst>
              </xdr:cNvPr>
              <xdr:cNvSpPr/>
            </xdr:nvSpPr>
            <xdr:spPr>
              <a:xfrm>
                <a:off x="2830746" y="450562"/>
                <a:ext cx="107065" cy="108012"/>
              </a:xfrm>
              <a:prstGeom prst="ellipse">
                <a:avLst/>
              </a:prstGeom>
              <a:ln/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sp macro="" textlink="">
          <xdr:nvSpPr>
            <xdr:cNvPr id="9" name="TextBox 22">
              <a:extLst>
                <a:ext uri="{FF2B5EF4-FFF2-40B4-BE49-F238E27FC236}">
                  <a16:creationId xmlns:a16="http://schemas.microsoft.com/office/drawing/2014/main" id="{C5C58884-0671-4637-BD6B-06C930EA83B0}"/>
                </a:ext>
              </a:extLst>
            </xdr:cNvPr>
            <xdr:cNvSpPr txBox="1"/>
          </xdr:nvSpPr>
          <xdr:spPr>
            <a:xfrm>
              <a:off x="1482391" y="1176174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Residual Waste</a:t>
              </a:r>
            </a:p>
          </xdr:txBody>
        </xdr:sp>
        <xdr:sp macro="" textlink="">
          <xdr:nvSpPr>
            <xdr:cNvPr id="10" name="TextBox 23">
              <a:extLst>
                <a:ext uri="{FF2B5EF4-FFF2-40B4-BE49-F238E27FC236}">
                  <a16:creationId xmlns:a16="http://schemas.microsoft.com/office/drawing/2014/main" id="{6B8281F1-2294-49B5-B306-B1B79405F7D6}"/>
                </a:ext>
              </a:extLst>
            </xdr:cNvPr>
            <xdr:cNvSpPr txBox="1"/>
          </xdr:nvSpPr>
          <xdr:spPr>
            <a:xfrm>
              <a:off x="4321800" y="2743654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Dry Recyclables</a:t>
              </a:r>
            </a:p>
          </xdr:txBody>
        </xdr:sp>
        <xdr:sp macro="" textlink="">
          <xdr:nvSpPr>
            <xdr:cNvPr id="11" name="TextBox 24">
              <a:extLst>
                <a:ext uri="{FF2B5EF4-FFF2-40B4-BE49-F238E27FC236}">
                  <a16:creationId xmlns:a16="http://schemas.microsoft.com/office/drawing/2014/main" id="{91036865-368F-487F-A8B7-EDB44569986C}"/>
                </a:ext>
              </a:extLst>
            </xdr:cNvPr>
            <xdr:cNvSpPr txBox="1"/>
          </xdr:nvSpPr>
          <xdr:spPr>
            <a:xfrm>
              <a:off x="6674394" y="2837515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Organic Waste</a:t>
              </a:r>
            </a:p>
          </xdr:txBody>
        </xdr:sp>
        <xdr:sp macro="" textlink="">
          <xdr:nvSpPr>
            <xdr:cNvPr id="12" name="TextBox 25">
              <a:extLst>
                <a:ext uri="{FF2B5EF4-FFF2-40B4-BE49-F238E27FC236}">
                  <a16:creationId xmlns:a16="http://schemas.microsoft.com/office/drawing/2014/main" id="{807AE213-5CAE-4B8B-BA13-8E77E1631D75}"/>
                </a:ext>
              </a:extLst>
            </xdr:cNvPr>
            <xdr:cNvSpPr txBox="1"/>
          </xdr:nvSpPr>
          <xdr:spPr>
            <a:xfrm>
              <a:off x="1415289" y="2943227"/>
              <a:ext cx="2203282" cy="254557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2.35 million   tonnes</a:t>
              </a:r>
            </a:p>
          </xdr:txBody>
        </xdr:sp>
        <xdr:sp macro="" textlink="">
          <xdr:nvSpPr>
            <xdr:cNvPr id="13" name="TextBox 26">
              <a:extLst>
                <a:ext uri="{FF2B5EF4-FFF2-40B4-BE49-F238E27FC236}">
                  <a16:creationId xmlns:a16="http://schemas.microsoft.com/office/drawing/2014/main" id="{FBE324CD-A26F-4EFC-B2CC-1181E90FF9A7}"/>
                </a:ext>
              </a:extLst>
            </xdr:cNvPr>
            <xdr:cNvSpPr txBox="1"/>
          </xdr:nvSpPr>
          <xdr:spPr>
            <a:xfrm>
              <a:off x="4439921" y="3074107"/>
              <a:ext cx="1986090" cy="168025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0.69 million </a:t>
              </a: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tonnes</a:t>
              </a:r>
            </a:p>
            <a:p>
              <a:pPr algn="ctr"/>
              <a:endParaRPr lang="en-GB">
                <a:solidFill>
                  <a:schemeClr val="bg1"/>
                </a:solidFill>
              </a:endParaRP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 plus</a:t>
              </a: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 </a:t>
              </a:r>
              <a:endParaRPr lang="en-GB">
                <a:solidFill>
                  <a:schemeClr val="bg1"/>
                </a:solidFill>
              </a:endParaRP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CDS</a:t>
              </a:r>
              <a:r>
                <a:rPr lang="en-GB" baseline="0">
                  <a:solidFill>
                    <a:schemeClr val="bg1"/>
                  </a:solidFill>
                </a:rPr>
                <a:t> Containers</a:t>
              </a: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0.13 million tonnes</a:t>
              </a: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collected </a:t>
              </a: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by </a:t>
              </a: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Return &amp; Earn</a:t>
              </a:r>
              <a:endParaRPr lang="en-GB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4" name="TextBox 27">
              <a:extLst>
                <a:ext uri="{FF2B5EF4-FFF2-40B4-BE49-F238E27FC236}">
                  <a16:creationId xmlns:a16="http://schemas.microsoft.com/office/drawing/2014/main" id="{44A4AF38-EFB5-4E1A-9FA2-AC19A5C05F57}"/>
                </a:ext>
              </a:extLst>
            </xdr:cNvPr>
            <xdr:cNvSpPr txBox="1"/>
          </xdr:nvSpPr>
          <xdr:spPr>
            <a:xfrm>
              <a:off x="7047186" y="3761024"/>
              <a:ext cx="1524431" cy="4167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0.86 million </a:t>
              </a: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tonnes</a:t>
              </a:r>
            </a:p>
          </xdr:txBody>
        </xdr:sp>
      </xdr:grpSp>
      <xdr:sp macro="" textlink="">
        <xdr:nvSpPr>
          <xdr:cNvPr id="5" name="TextBox 30">
            <a:extLst>
              <a:ext uri="{FF2B5EF4-FFF2-40B4-BE49-F238E27FC236}">
                <a16:creationId xmlns:a16="http://schemas.microsoft.com/office/drawing/2014/main" id="{409E8181-40DD-4584-9774-D9FE123AC76F}"/>
              </a:ext>
            </a:extLst>
          </xdr:cNvPr>
          <xdr:cNvSpPr txBox="1"/>
        </xdr:nvSpPr>
        <xdr:spPr>
          <a:xfrm>
            <a:off x="251520" y="332656"/>
            <a:ext cx="6048672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r>
              <a:rPr lang="en-GB"/>
              <a:t>Total waste collection by stream</a:t>
            </a:r>
          </a:p>
        </xdr:txBody>
      </xdr:sp>
    </xdr:grpSp>
    <xdr:clientData/>
  </xdr:twoCellAnchor>
  <xdr:twoCellAnchor editAs="oneCell">
    <xdr:from>
      <xdr:col>20</xdr:col>
      <xdr:colOff>266700</xdr:colOff>
      <xdr:row>58</xdr:row>
      <xdr:rowOff>72009</xdr:rowOff>
    </xdr:from>
    <xdr:to>
      <xdr:col>22</xdr:col>
      <xdr:colOff>114299</xdr:colOff>
      <xdr:row>62</xdr:row>
      <xdr:rowOff>142875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C243D432-CEA0-4315-8382-FFFF6ACE7A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46" t="3566" r="19914" b="69372"/>
        <a:stretch/>
      </xdr:blipFill>
      <xdr:spPr bwMode="auto">
        <a:xfrm>
          <a:off x="14106525" y="9035034"/>
          <a:ext cx="1066799" cy="680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7F90B1C6-DD3B-4587-845A-C5F18D4F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D9947AE2-F5DA-4AED-B62F-CDC30092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B5BF0BF8-B65F-476A-8B88-98F55FDA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976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A16ED0A7-7DB3-43F1-831A-4DF70840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976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6CC8958C-B9B6-48F7-9348-44B0F692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5F0DF1BC-EBA3-4B16-9F96-F27E6FE2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ED1CB649-5A5C-4321-BDA4-A4381BE7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976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8F97D4C0-3FB3-4572-A340-C12EC044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976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6F0A8171-DC96-451E-9B3B-31A251CB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608955F5-22AF-4769-92BD-D06E1826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C97FD1CF-D059-4C4A-9255-EF95F3CA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976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38B0CCA2-D733-45A4-AB83-CEEFFEE8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976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554F198C-61F3-41BF-BEC5-1B1DE0AA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B76871AA-E66A-4235-93F7-6AF87A55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98201298-3006-4E84-A279-3AD60F6E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F7A52613-D6BF-481D-A999-9DF864E6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366C6359-B37E-4077-A37F-BB80E7A4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976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72CE0BB2-C421-4C7C-A794-8B25F9E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976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EED045DF-BC9B-453F-928C-0CDDAFB6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CBA7F4B9-6C66-485B-B2EB-8F3D9C89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65639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8786C966-4DF1-45D6-87EA-8A3FB992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3D841722-A327-4181-AC29-505C31FD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C515DE54-B229-49E6-A51E-30C28BA9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6078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9CB3ADA-367E-4EFE-88BF-EC02A944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6078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95FEB44C-9195-4178-9C10-21C37D39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D3B4CC1C-E5AC-4AA3-9BBF-45021550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C6CD5C38-4115-4326-81E6-D7A2B33C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6078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CD84CBEF-2620-467F-BBA8-337E234B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6078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7E93D9B6-0A11-490A-A091-D5B525E4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5A900E31-557A-44F8-B8F8-81E24B02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3D380686-4E6E-48AA-8E52-B804FD7A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6078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24147D27-A2E2-41C8-87B8-A6CC7C69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6078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DF8F7DB9-D956-42EC-8CF6-92229862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38071606-A607-4415-BF60-BE42FB89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9D56F8E7-3A9F-4752-A614-AF07ABAB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16E6624E-BAAA-4892-9059-10A2863B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2B9D0783-1543-457F-8F57-F516FC31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6078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66ADA84A-27C4-421A-B54F-B7BEC111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6078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9F9E697C-3736-4730-B32B-4858E592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3FC9C6D2-36E3-4519-B3E6-F55DD7A0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487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E12C339-53EC-41B8-9121-583CC3CD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C297A0F9-874E-4445-8482-4DC665DF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1AE41531-F34F-4089-A11F-08549A80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6524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85FE61C1-D5B3-4ACD-A550-EE6EEC9E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6524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D785CDA4-4D5D-4D69-B5FC-2532862C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253553E8-224C-4029-92CF-9FA3E5DB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1AC6BA88-28EC-472E-9D73-67AC91D4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6524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7EC5B2C5-63CB-4D3C-ADC6-89B69C36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6524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4E88EE2D-7AAF-4F7E-BC3C-22DA528E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C8B6584B-B5AA-49CE-A344-7B314C45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4795D6C4-A904-488A-B0A8-71B82B76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6524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6B69B4CE-E99E-4505-AAE1-2E124B90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6524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4DA78933-CCC5-4E19-94B5-5784646F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8B2AB716-A76A-46D1-8CE0-972FA4CA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C738B2A3-26E7-40DE-BF1A-97A8CEAF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30C38CAB-314B-40C5-8545-A4544EBA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42264A17-3716-4822-AD78-131ECB3C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6524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EDECB8F9-A4CF-4051-AC4B-C821569D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6524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4375E507-DE6F-40EF-910D-B5B8C2D9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A9E87A56-9B92-40D8-97DF-615BFE54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20175" y="32861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D3FBE32C-DAD2-478B-AFD8-B5C01A4E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4481D56F-4E17-4643-A830-741BE65E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98207330-0602-4BB0-9FAB-1FCB1340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DFA1DF6A-0709-4C9B-A43C-E4830B83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FE9E9AF2-7CA3-4582-BF8D-5EA0DFDC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8357A326-9B3E-4272-8CAF-7867DA8B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B4E94FF6-1CC9-496E-A4B0-F0DC94EF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E1B33619-61FA-443D-A432-2FC4567C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629EF6F4-2889-481E-B8A4-16FE2C80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8A8E44D2-DCFC-428B-9DF5-3CA5D918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A7FDDC37-5157-4B00-AFEE-D44111F5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CD1142F9-F6AC-4049-9CE9-A57D0097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B5592ED-716A-4D1A-8EA3-474751BF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EAF279E4-5B58-435A-97A0-5D6D5A6E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CF3AA9C6-5FCF-41B3-958B-2D19AAF6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87FDF24E-5650-47CA-BC9D-762FE4ED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993193D4-3717-424B-B5D1-9EFFC3D1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89E42C65-EF08-4C38-B510-47D574C9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28B42ADB-8E7D-4D0F-8A8B-E88A30EB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78190260-6661-41A4-86D8-F9807461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63252E69-9D1D-484A-B9BB-6714D02C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58345D96-E73A-421E-9FC3-F036E98C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9BE56D29-61B7-4C19-92B4-3F34EE4F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AF6D5D55-3BF5-482E-8F7C-7F526D6C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E7E25D3F-B70C-47C5-97B6-669C3B7C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FEE9239A-F133-484E-91A6-1CE176A2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44FE66B4-45DA-48B8-846F-2677F861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932293E-0B8C-4AE7-AA9D-D33A6E8E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B21453A5-E303-4B94-8928-57826231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90DF6855-720E-46D9-9739-83002CA5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AFDE3D44-C7F1-40AD-B2F2-2EB24674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EC522D45-795A-4E75-96CF-D743CD9C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294F4695-34DC-4F39-AB27-8EE3AB26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3982351B-AFB1-4862-886F-2B4581F2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BFA71D1D-85A8-4386-9CBD-9F0D5B1E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BFD110F1-40B9-49CD-91B9-E0DC4D46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B7C0A891-B2F7-4923-854E-F8536B9E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7266339B-4A03-4F4C-B66A-8BBE2316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AF841EFB-99F9-4345-A071-3D0DE0AF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FCF1136B-B484-4B9F-A088-1F469E78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C0129A03-8753-4C53-9A9F-C8B83FAB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92812F1E-2DDE-48B6-97F2-99F6A406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5023DFDD-3EE0-4574-A21F-B9180E0B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C46BA218-1856-47E2-92CC-0D414001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91BDC0F-465C-4465-805E-AE30F3CB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83C9583-937D-47AE-AE94-BCB856CD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226D392D-5A57-4C58-8A40-3608C899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EC050AED-275C-4072-8254-63FE8210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A1569E46-401A-42CC-BF4A-E418C37E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98345C6-4EEB-4A68-ACA0-72085F6E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1CC925A4-7B96-4DF1-B552-19BBDA69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83650E98-4A62-403C-9AE8-9C7DED7D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603683D5-9D8A-4201-B9D5-607B36A4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B357DB7E-2986-4DAF-81A5-A78353C9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D7BCFD1-CA61-4C72-8E4E-AE990CD4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C8B5109B-69BE-4A0F-B8B3-2FBC4A54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E18D2A77-4706-4C1A-91A0-4452EF7E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3B0965E8-9A00-423D-B777-3D118733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4EC46EC2-9AEE-4440-93C9-2FEDFADE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EE3EA57F-951F-4A47-A68F-51504185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47662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4C538FB3-65AD-4F6C-92F7-64B4E5D5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DDF9E8B6-B078-4E48-A07E-C0C66424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708115EF-D383-4371-A4D8-A230C22B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C55506FB-C4D2-42FE-9A82-BEB99D24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141A843F-AFFB-4325-B80B-94240FBC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8EDA3902-216A-4E82-8F53-C5A576B7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28D49B90-FA0B-4D5D-8A1F-79D5E7BE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5E3B1238-B324-4F9F-8BE0-3DE243E6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EE5F3A6B-B82C-4FCE-82BE-64698D9E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DACD7040-8447-40D1-9CF7-F01134B0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FDE6A517-BF85-4AE8-8403-A1DC497E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765E7A05-020C-4560-B60E-2691B30C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C8F97A01-DECE-44D9-ADC8-1484618D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326EE6F6-F4B9-49F7-9DBA-7A143DA4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6B8560AF-9708-4D30-9F41-D62D42AC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B02B3183-95BC-42B1-98D4-4B3BE415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9A8F9BC6-C667-4A03-B3A6-840FFE9D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A00D787A-E940-45CA-B32F-5784B24B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AA9973B5-1E81-4656-AFBC-23A32D41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4E1BE6F2-589F-4D29-97C9-67CFF1F5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896350" y="3133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797ED346-4C75-417B-9FFD-3FEC6A9E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4A7CAB5-027F-4737-A551-72176D55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2A1BA404-DBA1-4EB1-A189-8109B30E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565D2768-A35C-47A4-BC75-7E122AEB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8541F77C-49C1-462F-9336-D4C647A4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87605A01-14F5-4FE9-9FDF-CBE90192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A494F4B6-5B79-4D24-B795-EEDEF1F3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E8F4E15A-0D28-4336-AF3A-5C578DC8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E10B610E-5192-41F7-B42D-11D284F9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A695BA4E-C1C2-4747-A40F-D95FCB1E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8BFF5234-A145-48FE-9404-611A3FA6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45038E2B-07FD-4EB0-9A6E-56296D8F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8F161A03-9609-429B-88D0-23C2A07F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96A8B604-4A87-4842-A417-4C966EDC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8A499D52-7C1D-4635-9E47-F7D78EF7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F57EB28F-01DE-4A2D-9A12-B09CB4E7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C0955F4E-68DF-4C22-8756-352E03DB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5EE07AC2-9D1C-4CE7-8E72-66BF4A19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55AFC339-8639-429F-A853-208FD4AD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51A787A4-E6EE-4AB4-BF2E-89B713D5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1BE6E06A-3645-4A41-8E5F-465BD3DE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58557CC9-E516-4616-943E-1373A03C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8E6FF6D-E145-4F9E-871A-A02D2900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9CE0555D-95C2-47ED-8C8A-1CC0D5FD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77B16707-DCF8-45D8-BCCF-F74A3047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5E6849FA-6C60-4D5F-8714-7AB1542A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8B32A853-4557-43E2-8905-55DDB0CA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BAF646BA-622C-40BC-B7FF-B4C80D60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2718B221-59ED-4BE4-A7C3-100351A0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6291BE21-F41A-458C-B8B3-C840F653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D810B369-CE87-42F3-A750-CB459E2F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F1F68944-DE1C-4A93-AF29-CE0B4032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8AE6680-E754-457A-99E9-C872FE0D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2712DFA5-D704-4CFD-93B9-96012AED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F70C65BA-D1AE-44A1-B7E3-0A61373C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B447DC68-87ED-4388-8149-04D90427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D23BF4AB-15FC-4262-9DF0-6BF8FC8E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D2FD43A-EE2B-4BE1-BF06-44458708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F04C981-2EE7-406A-9401-CFB06907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91327FC9-7D85-45AE-B797-3BC63635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5275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B8770976-7067-43F2-9673-68B24F13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5A6AFED5-FB73-4FE6-95F6-3D03A859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9D92FB5B-E429-4F0C-B6C5-A11A6179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8EF6D87E-9ABA-473E-8FCB-A7CFEC6F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595714C0-D838-40C4-B7A4-B6C3656A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6DE73C2D-E2A1-4965-B08A-45BFE2B6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6803A47A-EE05-481A-8476-7CC817AB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F0E9B166-C2D4-4C70-98C3-6A46CCF9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DF82F933-9448-4561-9693-C16AFC8B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53E129CA-AE9F-4090-8F45-AEA827EE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7D34F111-33BF-42BB-B2E1-67297E71D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8665560C-A148-49BA-A497-D8B9BE14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C0E54D45-8071-4589-A2D7-02CD1EA9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32B0224E-CED4-4F21-887D-C3478609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469A226C-3FBB-42DF-ADB1-F219AC8C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141D3EB9-0BE1-4929-9C83-4E0C0C55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A0BC5A2F-7409-4EAA-A740-5BDDA55F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D15C64EA-2616-437D-9A7B-A8506C88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B1A04EF7-E821-4CFF-8B50-7AA13B48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72D18174-3558-4DE3-9115-D91DA15E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190875" y="13335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10BF2EE6-8239-49CB-AB14-4567BB64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FF8164EA-AE24-4B08-98C0-BAFD570E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B6B699FD-DC1E-411F-A246-0CDCB82C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0714A7F4-50FC-4535-A2F4-23C91A8B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3CFD32C4-8CEE-4795-8FDC-7DD0A4B0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26204301-4009-4916-9082-6EFF2827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DC29866D-9720-407D-A502-5011A60A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EF096D28-26B6-48CD-855A-B69CF81F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3B8D7C69-14DA-4B06-A098-912745E5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25845485-8D91-4E25-A961-B9ECE6AE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B551D075-EDC7-41C8-92D3-2FF7AE07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0BA940E7-6762-4D15-BFF6-F848F77B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E8C7DE92-513D-4586-9CAC-F73EC251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C1FA1C94-044F-4978-8BB6-02DA79E4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9C3061AF-A734-484A-92F1-1EC55811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AD98EB5F-4F9B-4B6F-ADCD-A8A75569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42B1D1BD-3411-4D53-9516-23EA591E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27DF7C50-C0A3-45F5-B4B7-AA0D72B9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6372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7B6FEBA4-6B5F-41EC-B1F2-BF4595DE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BE6A060F-5FED-4322-A10D-4047149F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601200" y="3143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77B67671-D38F-43A3-A3BF-D33AEC89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3FE49355-88A3-4326-8313-30678B7B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C35F632C-4813-4C5B-9807-C50FAB0A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66306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E9BCC1B5-0FF1-431B-B877-A839084C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66306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714CD2D1-AF8E-4692-8E99-9F41AE35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3BDB1F5-4EC0-4451-977A-3A3C617D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2945A996-B880-4B60-B29C-BF2DD43A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66306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E0D6C60D-37A6-44D5-84F5-C20DA293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66306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5DBA91B7-7979-4021-A1F0-6B2106DC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BD86BD9D-0796-49E9-AB9A-9E782BBA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E654F843-82FC-464D-8D53-16B511F4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66306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3240C4B1-0B40-4C51-808F-85DE1096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66306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7AEDAD40-7477-4C46-AB51-DDD3DBF5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76037562-B838-4487-A300-40D192ED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439E4DB7-8E62-4125-BE0E-45DABCD5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6D01FCF0-7E33-4C86-8117-902AF1F5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69E8E2E1-B94D-4C48-B497-50367E83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66306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5258708E-222A-4124-A6CC-0644B739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66306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B5A44B60-1AED-4EE9-83CB-15B25B64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D64003F9-5149-4C83-94D5-B915AEC7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140398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90D2FECF-3D2B-4C6A-A3AD-10D5EF8C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3B5C6B5-0AC4-4D39-9637-199DCE37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3F3AA7EF-646B-4C46-AEAF-97E305A2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837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BD2A5BBC-FD25-4A59-9066-A19E55AE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837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2F8CF3F3-A9D9-44A9-A080-8E2A3826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967A478D-8D3F-4127-92A9-DAE34E15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233079D8-E21C-4C2A-BEBF-F7668E58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837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FF6BBF7E-5AA6-493E-97FB-FAF4D1E6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837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850D73E2-F97B-44EF-BDD6-A19407A5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50AE693C-FFB5-40B3-A3DC-DFA2EE6D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98F10592-C545-4A19-8143-86BAEDCB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837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3EBAAA13-A202-41EF-8CC7-ADD60773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837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CBE27206-7F5C-4B26-BFA3-00BAE674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1A0B5C7C-6EC0-4009-A44B-950F00C7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22C896D6-86F7-43BC-B131-B32D108C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85C6E0FD-9B45-4918-919E-30E4DEC9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14F0896D-BDB0-4854-9A4C-AD443975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837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F910AE56-2410-4B32-B4C6-F1A13959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837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DF45F0BF-31AD-46E2-AC72-6001E75A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E4E813FE-C1CD-4DDD-92B1-5C097CC3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648325" y="3838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80</xdr:row>
      <xdr:rowOff>0</xdr:rowOff>
    </xdr:from>
    <xdr:to>
      <xdr:col>27</xdr:col>
      <xdr:colOff>9525</xdr:colOff>
      <xdr:row>80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353B679C-F239-41A2-B544-E368B404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4497050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80</xdr:row>
      <xdr:rowOff>0</xdr:rowOff>
    </xdr:from>
    <xdr:to>
      <xdr:col>27</xdr:col>
      <xdr:colOff>9525</xdr:colOff>
      <xdr:row>80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6E3774FF-0A6D-48EB-8148-90F7225F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4497050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96</xdr:row>
      <xdr:rowOff>0</xdr:rowOff>
    </xdr:from>
    <xdr:to>
      <xdr:col>27</xdr:col>
      <xdr:colOff>9525</xdr:colOff>
      <xdr:row>96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B675C0CD-0C8A-4FB8-804D-82625AB0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4497050" y="1663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96</xdr:row>
      <xdr:rowOff>0</xdr:rowOff>
    </xdr:from>
    <xdr:to>
      <xdr:col>27</xdr:col>
      <xdr:colOff>9525</xdr:colOff>
      <xdr:row>96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8C79D82B-ABCD-4FFC-B45C-B3142D44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4497050" y="1663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89CD1A3A-C4AB-4733-9C19-D53B78BB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354425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18B395C8-A257-492F-AD32-F1919BA6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354425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76B557B-CCA7-49AA-8008-40DD249A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106650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9B6CCA60-7CBC-47A6-89E7-F6A7CB86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106650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96</xdr:row>
      <xdr:rowOff>0</xdr:rowOff>
    </xdr:from>
    <xdr:to>
      <xdr:col>28</xdr:col>
      <xdr:colOff>9525</xdr:colOff>
      <xdr:row>96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801577A0-5BAF-4533-875D-75A7BDB6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106650" y="1663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96</xdr:row>
      <xdr:rowOff>0</xdr:rowOff>
    </xdr:from>
    <xdr:to>
      <xdr:col>28</xdr:col>
      <xdr:colOff>9525</xdr:colOff>
      <xdr:row>96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35EE10C9-6F3F-4536-BCC7-FC4D95C6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106650" y="1663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9746947C-9AC1-4174-975B-924E94AA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744825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9947C9CD-6CDC-49E5-A668-0D18EB62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744825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96</xdr:row>
      <xdr:rowOff>0</xdr:rowOff>
    </xdr:from>
    <xdr:to>
      <xdr:col>29</xdr:col>
      <xdr:colOff>9525</xdr:colOff>
      <xdr:row>96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B16C6213-7106-4E88-8291-28D0DAA1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744825" y="1663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96</xdr:row>
      <xdr:rowOff>0</xdr:rowOff>
    </xdr:from>
    <xdr:to>
      <xdr:col>29</xdr:col>
      <xdr:colOff>9525</xdr:colOff>
      <xdr:row>96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68DC768F-F211-4979-BB77-1B320322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744825" y="1663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9525</xdr:colOff>
      <xdr:row>80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143C07E6-756B-4EB4-8051-367BD25E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096625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9525</xdr:colOff>
      <xdr:row>80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AEF97CED-E006-4AD9-B129-51E94BDE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096625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96</xdr:row>
      <xdr:rowOff>0</xdr:rowOff>
    </xdr:from>
    <xdr:to>
      <xdr:col>21</xdr:col>
      <xdr:colOff>9525</xdr:colOff>
      <xdr:row>96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F3F08384-2B12-4D37-BE40-447EEC92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096625" y="1663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96</xdr:row>
      <xdr:rowOff>0</xdr:rowOff>
    </xdr:from>
    <xdr:to>
      <xdr:col>21</xdr:col>
      <xdr:colOff>9525</xdr:colOff>
      <xdr:row>96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EDA62416-5CBF-4DE5-B55A-9E812503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096625" y="1663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36929643-01B9-4A94-A0DF-F60E46F1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A1F689B1-F325-4B59-9E24-1EB7E371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D94E4A07-464E-4183-AD1D-4E171E28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7CEFD5D6-480C-4B22-9639-246F20D7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CA8DE47D-95BD-443F-9F08-C33AB042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5FF148AA-C19B-43C9-A8C4-B47A6D3D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28288503-F8D9-4EA9-81EE-86B58FBB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D7B79805-3A6A-4C67-B569-175085D0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6FF5BB76-1264-427D-B841-D5EC0229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DED97CD7-543B-4273-940C-5D913702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38A6821D-5A75-4931-B259-A4D94CF2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C4D0C511-E6F2-45AF-AAB1-FF6D4A41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263D346-FAF8-44B1-9B57-147A170F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561E5078-66EE-4075-9B55-C7F0CD37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653C7E33-1E30-452F-A60F-AD2C9CDF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C52B5E1C-250A-42D8-B725-D2AC5DE7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B1B8C1E5-9DB9-48D2-BBE0-FB5E409B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71E698E4-9300-402E-8D4A-54789FA1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223D16EC-8EB5-4B71-8158-2EF960A5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B347CC-7D31-45BA-9DC6-F33A1932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4292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C4B3BE4E-A72C-4D56-BBFB-1D74EF57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81E561FE-B527-4AF8-BEC8-7DA5B3B7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66C58A9B-17D5-4637-9F21-DE76E80D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7696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9ADE7D88-38E5-4402-8EAB-5E6C5669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7696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E0357E29-3B36-4B97-9B57-B997D004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40972542-6C89-42EC-9E26-52ACF42C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F5C28A80-64E8-4AFB-B5ED-887A8C5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7696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6D8218E6-CECE-4AED-9D06-E48FA35F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7696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85E41245-B017-44E5-9644-B3D73A8C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AFA2FB89-BD93-4B47-8F4D-F2242AA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86952A64-A422-4C35-8023-100F9709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7696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ACE6DF28-258D-498B-99F3-1EE94916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7696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A3ADE00-FFCC-4C1B-85E1-93E794B4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74541171-8BA3-4D0C-82A8-D51D9E5C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51996DE9-73DC-4F43-9CD4-BD8C7F49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E817A52F-02C1-4D5C-8C89-5E1E3BDA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D4BA4C18-C205-4D3D-B676-6912A981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7696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AB488B9F-EC16-4E24-B187-68F98AEA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7696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3FAAE2-06F3-4501-A16F-03569888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229969C9-5CA7-4066-8A06-18342270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10450" y="3162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BE8C2F76-EACC-422F-A52A-73526452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F3DBFB36-7497-4A62-B1E4-C77F44AB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D6747ADA-F525-42B8-93E4-A5CFAAD0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3C6580EC-4D03-4A9B-8097-57C81A9E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5ADD74CF-8B23-46F4-A504-0CEB3005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7CE30DAC-68DD-4C46-A098-CD8AC99E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3E5A3EE-B8D9-42B4-97DA-03AD16F3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A5E8D887-A140-4C88-86E1-1EB88B4B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7445BDE8-1E68-4D2B-9D85-095E5C4E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14D5C8E-0436-42CA-9C10-69CCF3E9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C033876B-E857-43C0-9F67-A3D533B0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8387ABFA-8CCF-4A51-966F-BBAF3DF4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2511C264-68D7-49CD-A35F-C05045CC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69C9D3C6-431B-4DAC-B975-7E02ECBE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9471D2CC-6DD9-4346-9AA4-7AF769BA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DCAFA482-6B21-41C6-9455-1473E2F8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2D79AAAC-2DB5-4FB4-9737-58DC46DE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9474587E-05C6-43B7-B846-5B717179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AB07EDE4-5E5F-450D-BB05-8C23B73C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C9543BE1-892E-4BBF-B760-71D97B90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46760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62" name="Picture 62" descr="http://www.abs.gov.au/icons/ecblank.gif">
          <a:extLst>
            <a:ext uri="{FF2B5EF4-FFF2-40B4-BE49-F238E27FC236}">
              <a16:creationId xmlns:a16="http://schemas.microsoft.com/office/drawing/2014/main" id="{8A338AAC-D060-44EE-B8BE-54648666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63" name="Picture 63" descr="http://www.abs.gov.au/icons/ecblank.gif">
          <a:extLst>
            <a:ext uri="{FF2B5EF4-FFF2-40B4-BE49-F238E27FC236}">
              <a16:creationId xmlns:a16="http://schemas.microsoft.com/office/drawing/2014/main" id="{0092E8DB-70EE-4870-8501-27E84C3E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64" name="Picture 64" descr="http://www.abs.gov.au/icons/ecblank.gif">
          <a:extLst>
            <a:ext uri="{FF2B5EF4-FFF2-40B4-BE49-F238E27FC236}">
              <a16:creationId xmlns:a16="http://schemas.microsoft.com/office/drawing/2014/main" id="{C3BEADE7-611E-491F-AF3B-51363594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65" name="Picture 65" descr="http://www.abs.gov.au/icons/ecblank.gif">
          <a:extLst>
            <a:ext uri="{FF2B5EF4-FFF2-40B4-BE49-F238E27FC236}">
              <a16:creationId xmlns:a16="http://schemas.microsoft.com/office/drawing/2014/main" id="{70349A80-FCC7-4226-9418-9C92A2FF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66" name="Picture 66" descr="http://www.abs.gov.au/icons/ecblank.gif">
          <a:extLst>
            <a:ext uri="{FF2B5EF4-FFF2-40B4-BE49-F238E27FC236}">
              <a16:creationId xmlns:a16="http://schemas.microsoft.com/office/drawing/2014/main" id="{FBECEEEE-3B26-4978-A905-F813438D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67" name="Picture 67" descr="http://www.abs.gov.au/icons/ecblank.gif">
          <a:extLst>
            <a:ext uri="{FF2B5EF4-FFF2-40B4-BE49-F238E27FC236}">
              <a16:creationId xmlns:a16="http://schemas.microsoft.com/office/drawing/2014/main" id="{B4769360-1B5A-420B-9CE8-95CA662C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68" name="Picture 68" descr="http://www.abs.gov.au/icons/ecblank.gif">
          <a:extLst>
            <a:ext uri="{FF2B5EF4-FFF2-40B4-BE49-F238E27FC236}">
              <a16:creationId xmlns:a16="http://schemas.microsoft.com/office/drawing/2014/main" id="{2C2EDE91-8F9C-4862-88C9-9B75B831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69" name="Picture 69" descr="http://www.abs.gov.au/icons/ecblank.gif">
          <a:extLst>
            <a:ext uri="{FF2B5EF4-FFF2-40B4-BE49-F238E27FC236}">
              <a16:creationId xmlns:a16="http://schemas.microsoft.com/office/drawing/2014/main" id="{DFCDBC8E-82BC-4229-9456-99C4EA6A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0" name="Picture 70" descr="http://www.abs.gov.au/icons/ecblank.gif">
          <a:extLst>
            <a:ext uri="{FF2B5EF4-FFF2-40B4-BE49-F238E27FC236}">
              <a16:creationId xmlns:a16="http://schemas.microsoft.com/office/drawing/2014/main" id="{4AC0FC89-28E6-4D01-B573-164824F6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1" name="Picture 71" descr="http://www.abs.gov.au/icons/ecblank.gif">
          <a:extLst>
            <a:ext uri="{FF2B5EF4-FFF2-40B4-BE49-F238E27FC236}">
              <a16:creationId xmlns:a16="http://schemas.microsoft.com/office/drawing/2014/main" id="{310D81B9-FC99-411B-B67C-2A7F75B7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72" name="Picture 72" descr="http://www.abs.gov.au/icons/ecblank.gif">
          <a:extLst>
            <a:ext uri="{FF2B5EF4-FFF2-40B4-BE49-F238E27FC236}">
              <a16:creationId xmlns:a16="http://schemas.microsoft.com/office/drawing/2014/main" id="{38B87579-657F-4978-9636-63E29C6D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73" name="Picture 73" descr="http://www.abs.gov.au/icons/ecblank.gif">
          <a:extLst>
            <a:ext uri="{FF2B5EF4-FFF2-40B4-BE49-F238E27FC236}">
              <a16:creationId xmlns:a16="http://schemas.microsoft.com/office/drawing/2014/main" id="{BE3359E3-ACF0-40FE-B9C1-662F8477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4" name="Picture 74" descr="http://www.abs.gov.au/icons/ecblank.gif">
          <a:extLst>
            <a:ext uri="{FF2B5EF4-FFF2-40B4-BE49-F238E27FC236}">
              <a16:creationId xmlns:a16="http://schemas.microsoft.com/office/drawing/2014/main" id="{4C52840E-9BC5-4FF8-ADF5-FDA3A4DB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5" name="Picture 75" descr="http://www.abs.gov.au/icons/ecblank.gif">
          <a:extLst>
            <a:ext uri="{FF2B5EF4-FFF2-40B4-BE49-F238E27FC236}">
              <a16:creationId xmlns:a16="http://schemas.microsoft.com/office/drawing/2014/main" id="{6A93B164-44BB-459B-BEF1-9E9862E5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6" name="Picture 76" descr="http://www.abs.gov.au/icons/ecblank.gif">
          <a:extLst>
            <a:ext uri="{FF2B5EF4-FFF2-40B4-BE49-F238E27FC236}">
              <a16:creationId xmlns:a16="http://schemas.microsoft.com/office/drawing/2014/main" id="{34E2A16D-8038-4822-9CE2-BC6BE887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7" name="Picture 77" descr="http://www.abs.gov.au/icons/ecblank.gif">
          <a:extLst>
            <a:ext uri="{FF2B5EF4-FFF2-40B4-BE49-F238E27FC236}">
              <a16:creationId xmlns:a16="http://schemas.microsoft.com/office/drawing/2014/main" id="{46B43D9A-82F4-4536-B864-9A04A5AF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78" name="Picture 78" descr="http://www.abs.gov.au/icons/ecblank.gif">
          <a:extLst>
            <a:ext uri="{FF2B5EF4-FFF2-40B4-BE49-F238E27FC236}">
              <a16:creationId xmlns:a16="http://schemas.microsoft.com/office/drawing/2014/main" id="{0936C86E-10BF-4462-A3BD-1A5317E0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79" name="Picture 79" descr="http://www.abs.gov.au/icons/ecblank.gif">
          <a:extLst>
            <a:ext uri="{FF2B5EF4-FFF2-40B4-BE49-F238E27FC236}">
              <a16:creationId xmlns:a16="http://schemas.microsoft.com/office/drawing/2014/main" id="{E8DB38ED-095A-4944-9E74-F87D5734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59543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80" name="Picture 80" descr="http://www.abs.gov.au/icons/ecblank.gif">
          <a:extLst>
            <a:ext uri="{FF2B5EF4-FFF2-40B4-BE49-F238E27FC236}">
              <a16:creationId xmlns:a16="http://schemas.microsoft.com/office/drawing/2014/main" id="{5B1F6973-643A-42BD-B74F-FB94E32F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81" name="Picture 81" descr="http://www.abs.gov.au/icons/ecblank.gif">
          <a:extLst>
            <a:ext uri="{FF2B5EF4-FFF2-40B4-BE49-F238E27FC236}">
              <a16:creationId xmlns:a16="http://schemas.microsoft.com/office/drawing/2014/main" id="{EE7F7763-072A-48D0-9451-7EEB8501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487150" y="133635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7C67818A-6151-4D36-B197-B0D489EB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3048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4081F76D-3BE3-4D05-B1B0-3A7C8AB7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3048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A727327D-C8AB-4787-97AB-5D0DE473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3048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166FA5F0-09FB-442C-9C99-790E1C92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30480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64C2D699-0F7F-4C2A-BF2B-50EE50A1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8291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97CF4D50-8F1E-49D1-BC31-C7F3F2CB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8291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739052E7-9858-4D7E-AE46-5FD00CAF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8291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6F9AB44F-578C-4D5E-8D93-C1B6B03D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8291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9525</xdr:rowOff>
    </xdr:to>
    <xdr:pic>
      <xdr:nvPicPr>
        <xdr:cNvPr id="10" name="Picture 110" descr="http://www.abs.gov.au/icons/ecblank.gif">
          <a:extLst>
            <a:ext uri="{FF2B5EF4-FFF2-40B4-BE49-F238E27FC236}">
              <a16:creationId xmlns:a16="http://schemas.microsoft.com/office/drawing/2014/main" id="{48CF47BD-919B-4218-BDE1-7A5E920D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8291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9525</xdr:rowOff>
    </xdr:to>
    <xdr:pic>
      <xdr:nvPicPr>
        <xdr:cNvPr id="11" name="Picture 111" descr="http://www.abs.gov.au/icons/ecblank.gif">
          <a:extLst>
            <a:ext uri="{FF2B5EF4-FFF2-40B4-BE49-F238E27FC236}">
              <a16:creationId xmlns:a16="http://schemas.microsoft.com/office/drawing/2014/main" id="{7D5988EF-C145-430A-A0CB-F1173632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8291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58A62AC7-5007-4361-A9A9-614FDE0F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16DB5DCB-8B7B-4A6E-845D-F93D863D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2DE10BA0-F7A2-4CCA-9B54-BA2108AC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3DCED584-64BA-4A89-A358-0E152D71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9525</xdr:rowOff>
    </xdr:to>
    <xdr:pic>
      <xdr:nvPicPr>
        <xdr:cNvPr id="16" name="Picture 110" descr="http://www.abs.gov.au/icons/ecblank.gif">
          <a:extLst>
            <a:ext uri="{FF2B5EF4-FFF2-40B4-BE49-F238E27FC236}">
              <a16:creationId xmlns:a16="http://schemas.microsoft.com/office/drawing/2014/main" id="{60624F65-1578-4460-BDF8-B9C99D54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9525</xdr:rowOff>
    </xdr:to>
    <xdr:pic>
      <xdr:nvPicPr>
        <xdr:cNvPr id="17" name="Picture 111" descr="http://www.abs.gov.au/icons/ecblank.gif">
          <a:extLst>
            <a:ext uri="{FF2B5EF4-FFF2-40B4-BE49-F238E27FC236}">
              <a16:creationId xmlns:a16="http://schemas.microsoft.com/office/drawing/2014/main" id="{34F19AE6-7558-4F3C-8CBD-293C1B5D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29C378D4-A438-461B-9783-DEAA960B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187551B4-7D08-4B0B-8447-5E468390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973D8458-51D7-401C-A843-B8817D26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CABA0CB4-88C8-4637-9395-0E04391E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9525</xdr:rowOff>
    </xdr:to>
    <xdr:pic>
      <xdr:nvPicPr>
        <xdr:cNvPr id="22" name="Picture 110" descr="http://www.abs.gov.au/icons/ecblank.gif">
          <a:extLst>
            <a:ext uri="{FF2B5EF4-FFF2-40B4-BE49-F238E27FC236}">
              <a16:creationId xmlns:a16="http://schemas.microsoft.com/office/drawing/2014/main" id="{03543396-70B0-413B-950D-4EA7F56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9525</xdr:rowOff>
    </xdr:to>
    <xdr:pic>
      <xdr:nvPicPr>
        <xdr:cNvPr id="23" name="Picture 111" descr="http://www.abs.gov.au/icons/ecblank.gif">
          <a:extLst>
            <a:ext uri="{FF2B5EF4-FFF2-40B4-BE49-F238E27FC236}">
              <a16:creationId xmlns:a16="http://schemas.microsoft.com/office/drawing/2014/main" id="{2F2B40F7-F414-485F-A98D-C51BB656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1743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pic>
      <xdr:nvPicPr>
        <xdr:cNvPr id="24" name="Picture 23" descr="http://www.abs.gov.au/icons/ecblank.gif">
          <a:extLst>
            <a:ext uri="{FF2B5EF4-FFF2-40B4-BE49-F238E27FC236}">
              <a16:creationId xmlns:a16="http://schemas.microsoft.com/office/drawing/2014/main" id="{CA5D360B-DB53-4B0E-9398-8408AD8B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05275" y="434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pic>
      <xdr:nvPicPr>
        <xdr:cNvPr id="25" name="Picture 24" descr="http://www.abs.gov.au/icons/ecblank.gif">
          <a:extLst>
            <a:ext uri="{FF2B5EF4-FFF2-40B4-BE49-F238E27FC236}">
              <a16:creationId xmlns:a16="http://schemas.microsoft.com/office/drawing/2014/main" id="{6FF3AE80-026D-4C17-81AF-9CA57389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05275" y="434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9525</xdr:rowOff>
    </xdr:to>
    <xdr:pic>
      <xdr:nvPicPr>
        <xdr:cNvPr id="26" name="Picture 25" descr="http://www.abs.gov.au/icons/ecblank.gif">
          <a:extLst>
            <a:ext uri="{FF2B5EF4-FFF2-40B4-BE49-F238E27FC236}">
              <a16:creationId xmlns:a16="http://schemas.microsoft.com/office/drawing/2014/main" id="{C7C7481E-806A-4875-90EF-0EADEC54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90900" y="434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9525</xdr:rowOff>
    </xdr:to>
    <xdr:pic>
      <xdr:nvPicPr>
        <xdr:cNvPr id="27" name="Picture 26" descr="http://www.abs.gov.au/icons/ecblank.gif">
          <a:extLst>
            <a:ext uri="{FF2B5EF4-FFF2-40B4-BE49-F238E27FC236}">
              <a16:creationId xmlns:a16="http://schemas.microsoft.com/office/drawing/2014/main" id="{0CEF83A6-ECFC-4178-8DDA-F4DB7C32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90900" y="434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9525</xdr:rowOff>
    </xdr:to>
    <xdr:pic>
      <xdr:nvPicPr>
        <xdr:cNvPr id="28" name="Picture 27" descr="http://www.abs.gov.au/icons/ecblank.gif">
          <a:extLst>
            <a:ext uri="{FF2B5EF4-FFF2-40B4-BE49-F238E27FC236}">
              <a16:creationId xmlns:a16="http://schemas.microsoft.com/office/drawing/2014/main" id="{9EE719B2-D349-4B71-AE5F-5E6B7AE3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90900" y="434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9525</xdr:rowOff>
    </xdr:to>
    <xdr:pic>
      <xdr:nvPicPr>
        <xdr:cNvPr id="29" name="Picture 28" descr="http://www.abs.gov.au/icons/ecblank.gif">
          <a:extLst>
            <a:ext uri="{FF2B5EF4-FFF2-40B4-BE49-F238E27FC236}">
              <a16:creationId xmlns:a16="http://schemas.microsoft.com/office/drawing/2014/main" id="{97C66CD6-7E8E-4C85-AE25-185D8140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90900" y="434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pic>
      <xdr:nvPicPr>
        <xdr:cNvPr id="30" name="Picture 29" descr="http://www.abs.gov.au/icons/ecblank.gif">
          <a:extLst>
            <a:ext uri="{FF2B5EF4-FFF2-40B4-BE49-F238E27FC236}">
              <a16:creationId xmlns:a16="http://schemas.microsoft.com/office/drawing/2014/main" id="{ACF64B6B-BF55-4961-BD17-02AE91C9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05275" y="434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pic>
      <xdr:nvPicPr>
        <xdr:cNvPr id="31" name="Picture 30" descr="http://www.abs.gov.au/icons/ecblank.gif">
          <a:extLst>
            <a:ext uri="{FF2B5EF4-FFF2-40B4-BE49-F238E27FC236}">
              <a16:creationId xmlns:a16="http://schemas.microsoft.com/office/drawing/2014/main" id="{7967BFC2-6252-4001-A286-E8515DD3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05275" y="434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9525</xdr:rowOff>
    </xdr:to>
    <xdr:pic>
      <xdr:nvPicPr>
        <xdr:cNvPr id="32" name="Picture 110" descr="http://www.abs.gov.au/icons/ecblank.gif">
          <a:extLst>
            <a:ext uri="{FF2B5EF4-FFF2-40B4-BE49-F238E27FC236}">
              <a16:creationId xmlns:a16="http://schemas.microsoft.com/office/drawing/2014/main" id="{A23F2AAB-E030-4FAB-BC80-F2C9ACAC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90900" y="434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9525</xdr:rowOff>
    </xdr:to>
    <xdr:pic>
      <xdr:nvPicPr>
        <xdr:cNvPr id="33" name="Picture 111" descr="http://www.abs.gov.au/icons/ecblank.gif">
          <a:extLst>
            <a:ext uri="{FF2B5EF4-FFF2-40B4-BE49-F238E27FC236}">
              <a16:creationId xmlns:a16="http://schemas.microsoft.com/office/drawing/2014/main" id="{00B9219D-3816-4F06-98C1-FC342396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90900" y="434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9525</xdr:rowOff>
    </xdr:to>
    <xdr:pic>
      <xdr:nvPicPr>
        <xdr:cNvPr id="34" name="Picture 33" descr="http://www.abs.gov.au/icons/ecblank.gif">
          <a:extLst>
            <a:ext uri="{FF2B5EF4-FFF2-40B4-BE49-F238E27FC236}">
              <a16:creationId xmlns:a16="http://schemas.microsoft.com/office/drawing/2014/main" id="{BC627E97-A6A0-4067-9656-2F32CB0A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9525</xdr:rowOff>
    </xdr:to>
    <xdr:pic>
      <xdr:nvPicPr>
        <xdr:cNvPr id="35" name="Picture 34" descr="http://www.abs.gov.au/icons/ecblank.gif">
          <a:extLst>
            <a:ext uri="{FF2B5EF4-FFF2-40B4-BE49-F238E27FC236}">
              <a16:creationId xmlns:a16="http://schemas.microsoft.com/office/drawing/2014/main" id="{25E7D981-7D88-4E70-9072-5FC990BF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9525</xdr:rowOff>
    </xdr:to>
    <xdr:pic>
      <xdr:nvPicPr>
        <xdr:cNvPr id="36" name="Picture 35" descr="http://www.abs.gov.au/icons/ecblank.gif">
          <a:extLst>
            <a:ext uri="{FF2B5EF4-FFF2-40B4-BE49-F238E27FC236}">
              <a16:creationId xmlns:a16="http://schemas.microsoft.com/office/drawing/2014/main" id="{9FB772EE-048C-48AA-9BD8-06F02E11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9525</xdr:rowOff>
    </xdr:to>
    <xdr:pic>
      <xdr:nvPicPr>
        <xdr:cNvPr id="37" name="Picture 36" descr="http://www.abs.gov.au/icons/ecblank.gif">
          <a:extLst>
            <a:ext uri="{FF2B5EF4-FFF2-40B4-BE49-F238E27FC236}">
              <a16:creationId xmlns:a16="http://schemas.microsoft.com/office/drawing/2014/main" id="{F2241D1D-911B-4FDF-93D7-53879740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9525</xdr:rowOff>
    </xdr:to>
    <xdr:pic>
      <xdr:nvPicPr>
        <xdr:cNvPr id="38" name="Picture 110" descr="http://www.abs.gov.au/icons/ecblank.gif">
          <a:extLst>
            <a:ext uri="{FF2B5EF4-FFF2-40B4-BE49-F238E27FC236}">
              <a16:creationId xmlns:a16="http://schemas.microsoft.com/office/drawing/2014/main" id="{D09837CA-931F-49DC-9AB6-9434B859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9525</xdr:rowOff>
    </xdr:to>
    <xdr:pic>
      <xdr:nvPicPr>
        <xdr:cNvPr id="39" name="Picture 111" descr="http://www.abs.gov.au/icons/ecblank.gif">
          <a:extLst>
            <a:ext uri="{FF2B5EF4-FFF2-40B4-BE49-F238E27FC236}">
              <a16:creationId xmlns:a16="http://schemas.microsoft.com/office/drawing/2014/main" id="{88045085-E137-44A1-813E-4FA820CD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67652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9525</xdr:rowOff>
    </xdr:to>
    <xdr:pic>
      <xdr:nvPicPr>
        <xdr:cNvPr id="40" name="Picture 39" descr="http://www.abs.gov.au/icons/ecblank.gif">
          <a:extLst>
            <a:ext uri="{FF2B5EF4-FFF2-40B4-BE49-F238E27FC236}">
              <a16:creationId xmlns:a16="http://schemas.microsoft.com/office/drawing/2014/main" id="{8A223858-00DD-4B5C-83F2-E5A48473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9525</xdr:rowOff>
    </xdr:to>
    <xdr:pic>
      <xdr:nvPicPr>
        <xdr:cNvPr id="41" name="Picture 40" descr="http://www.abs.gov.au/icons/ecblank.gif">
          <a:extLst>
            <a:ext uri="{FF2B5EF4-FFF2-40B4-BE49-F238E27FC236}">
              <a16:creationId xmlns:a16="http://schemas.microsoft.com/office/drawing/2014/main" id="{33C528F1-8AC8-4FAA-93C2-A8B0826E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40EC21EA-6263-471B-88E1-68FFACA2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2CB8C118-36F0-4121-B0BD-713D6E00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9525</xdr:rowOff>
    </xdr:to>
    <xdr:pic>
      <xdr:nvPicPr>
        <xdr:cNvPr id="44" name="Picture 110" descr="http://www.abs.gov.au/icons/ecblank.gif">
          <a:extLst>
            <a:ext uri="{FF2B5EF4-FFF2-40B4-BE49-F238E27FC236}">
              <a16:creationId xmlns:a16="http://schemas.microsoft.com/office/drawing/2014/main" id="{D744DCD2-1508-44A4-AD50-1B053B71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9525</xdr:rowOff>
    </xdr:to>
    <xdr:pic>
      <xdr:nvPicPr>
        <xdr:cNvPr id="45" name="Picture 111" descr="http://www.abs.gov.au/icons/ecblank.gif">
          <a:extLst>
            <a:ext uri="{FF2B5EF4-FFF2-40B4-BE49-F238E27FC236}">
              <a16:creationId xmlns:a16="http://schemas.microsoft.com/office/drawing/2014/main" id="{00DB7212-2AB7-4EF7-B650-0D3CA4D9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53275" y="45053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_WaRR_RMS/WASTE%20AVOIDANCE%20AND%20RECOVERY/ASSESSMENTS/LGWARR%20Data%20Return%202020-21/Analysis%202020-21/2020-21%20Appendix%20LG%20WARR%20Data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PA_WaRR_RMS/WASTE%20AVOIDANCE%20AND%20RECOVERY/ASSESSMENTS/LGWARR%20Data%20Return%202019-20/Analysis%202019-20/2018-19%20Appendix%20LG%20WARR%20Data%20Report%20NEW%20ABS%20C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1-Services"/>
      <sheetName val="App 2-Totals"/>
      <sheetName val="App 3-Recycling Rate"/>
      <sheetName val="App 4-Recyclables"/>
      <sheetName val="App 5-Organics"/>
      <sheetName val="App 6-Residual Waste"/>
      <sheetName val="App 7-Household and Capita"/>
      <sheetName val="App 8-Bin Size and Frequency"/>
      <sheetName val="App 8a - Rec Materials Acepted"/>
      <sheetName val="App 9-AWT"/>
    </sheetNames>
    <sheetDataSet>
      <sheetData sheetId="0"/>
      <sheetData sheetId="1">
        <row r="7">
          <cell r="O7" t="str">
            <v>Residual</v>
          </cell>
          <cell r="P7" t="str">
            <v>Recycling</v>
          </cell>
          <cell r="Q7" t="str">
            <v>Organics</v>
          </cell>
        </row>
        <row r="8">
          <cell r="O8">
            <v>2353185.69</v>
          </cell>
          <cell r="P8">
            <v>827959.64061781368</v>
          </cell>
          <cell r="Q8">
            <v>863221.5299999998</v>
          </cell>
        </row>
        <row r="9">
          <cell r="H9">
            <v>2941253.01</v>
          </cell>
        </row>
      </sheetData>
      <sheetData sheetId="2"/>
      <sheetData sheetId="3">
        <row r="5">
          <cell r="H5">
            <v>348.54</v>
          </cell>
          <cell r="P5">
            <v>0</v>
          </cell>
          <cell r="T5">
            <v>0</v>
          </cell>
          <cell r="V5">
            <v>9656.1675632345759</v>
          </cell>
          <cell r="W5">
            <v>9307.6275632345769</v>
          </cell>
          <cell r="X5">
            <v>348.54</v>
          </cell>
          <cell r="AB5">
            <v>0</v>
          </cell>
          <cell r="AC5">
            <v>0</v>
          </cell>
          <cell r="AD5">
            <v>0</v>
          </cell>
        </row>
        <row r="6">
          <cell r="H6">
            <v>66.599999999999994</v>
          </cell>
          <cell r="P6">
            <v>27.1</v>
          </cell>
          <cell r="T6">
            <v>0</v>
          </cell>
          <cell r="V6">
            <v>4874.7605064331146</v>
          </cell>
          <cell r="W6">
            <v>4781.0605064331139</v>
          </cell>
          <cell r="X6">
            <v>93.699999999999989</v>
          </cell>
          <cell r="AB6">
            <v>0</v>
          </cell>
          <cell r="AC6">
            <v>0</v>
          </cell>
          <cell r="AD6">
            <v>0</v>
          </cell>
        </row>
        <row r="7">
          <cell r="H7">
            <v>1246.26</v>
          </cell>
          <cell r="P7">
            <v>0</v>
          </cell>
          <cell r="T7">
            <v>0</v>
          </cell>
          <cell r="V7">
            <v>6710.9057636348243</v>
          </cell>
          <cell r="W7">
            <v>5464.6457636348241</v>
          </cell>
          <cell r="X7">
            <v>1246.26</v>
          </cell>
          <cell r="AB7">
            <v>0</v>
          </cell>
          <cell r="AC7">
            <v>0</v>
          </cell>
          <cell r="AD7">
            <v>0</v>
          </cell>
        </row>
        <row r="8">
          <cell r="H8">
            <v>0</v>
          </cell>
          <cell r="P8">
            <v>0</v>
          </cell>
          <cell r="T8">
            <v>0</v>
          </cell>
          <cell r="V8">
            <v>20.042110611419595</v>
          </cell>
          <cell r="W8">
            <v>20.042110611419595</v>
          </cell>
          <cell r="X8">
            <v>0</v>
          </cell>
        </row>
        <row r="9">
          <cell r="H9">
            <v>203.9</v>
          </cell>
          <cell r="P9">
            <v>0</v>
          </cell>
          <cell r="T9">
            <v>0</v>
          </cell>
          <cell r="V9">
            <v>5589.4616702415215</v>
          </cell>
          <cell r="W9">
            <v>5385.5616702415218</v>
          </cell>
          <cell r="X9">
            <v>203.9</v>
          </cell>
          <cell r="AB9">
            <v>0</v>
          </cell>
          <cell r="AC9">
            <v>0</v>
          </cell>
          <cell r="AD9">
            <v>0</v>
          </cell>
        </row>
        <row r="10">
          <cell r="H10">
            <v>1221</v>
          </cell>
          <cell r="P10">
            <v>11</v>
          </cell>
          <cell r="T10">
            <v>56.3</v>
          </cell>
          <cell r="V10">
            <v>13808.17066299012</v>
          </cell>
          <cell r="W10">
            <v>12519.870662990121</v>
          </cell>
          <cell r="X10">
            <v>1288.3</v>
          </cell>
          <cell r="AB10">
            <v>0</v>
          </cell>
          <cell r="AC10">
            <v>0</v>
          </cell>
          <cell r="AD10">
            <v>0</v>
          </cell>
        </row>
        <row r="11">
          <cell r="H11">
            <v>200</v>
          </cell>
          <cell r="P11">
            <v>0</v>
          </cell>
          <cell r="T11">
            <v>0</v>
          </cell>
          <cell r="V11">
            <v>8982.8877436822204</v>
          </cell>
          <cell r="W11">
            <v>8782.8877436822204</v>
          </cell>
          <cell r="X11">
            <v>200</v>
          </cell>
        </row>
        <row r="12">
          <cell r="H12">
            <v>111.45</v>
          </cell>
          <cell r="P12">
            <v>0</v>
          </cell>
          <cell r="T12">
            <v>0</v>
          </cell>
          <cell r="V12">
            <v>1601.2132324145464</v>
          </cell>
          <cell r="W12">
            <v>1489.7632324145466</v>
          </cell>
          <cell r="X12">
            <v>111.45</v>
          </cell>
          <cell r="AB12">
            <v>0</v>
          </cell>
          <cell r="AC12">
            <v>0</v>
          </cell>
          <cell r="AD12">
            <v>0</v>
          </cell>
        </row>
        <row r="13">
          <cell r="H13">
            <v>26.06</v>
          </cell>
          <cell r="P13">
            <v>3.69</v>
          </cell>
          <cell r="T13">
            <v>0</v>
          </cell>
          <cell r="V13">
            <v>1004.4170370299255</v>
          </cell>
          <cell r="W13">
            <v>974.6670370299255</v>
          </cell>
          <cell r="X13">
            <v>29.75</v>
          </cell>
        </row>
        <row r="14">
          <cell r="H14">
            <v>1499.23</v>
          </cell>
          <cell r="P14">
            <v>0</v>
          </cell>
          <cell r="T14">
            <v>0</v>
          </cell>
          <cell r="V14">
            <v>27532.331504266727</v>
          </cell>
          <cell r="W14">
            <v>26033.101504266728</v>
          </cell>
          <cell r="X14">
            <v>1499.23</v>
          </cell>
        </row>
        <row r="15">
          <cell r="H15">
            <v>0</v>
          </cell>
          <cell r="P15">
            <v>0</v>
          </cell>
          <cell r="T15">
            <v>0</v>
          </cell>
          <cell r="V15">
            <v>116.40999548813564</v>
          </cell>
          <cell r="W15">
            <v>116.40999548813564</v>
          </cell>
          <cell r="X15">
            <v>0</v>
          </cell>
        </row>
        <row r="16">
          <cell r="H16">
            <v>20.83</v>
          </cell>
          <cell r="P16">
            <v>0</v>
          </cell>
          <cell r="T16">
            <v>0</v>
          </cell>
          <cell r="V16">
            <v>1205.2826409267129</v>
          </cell>
          <cell r="W16">
            <v>1184.452640926713</v>
          </cell>
          <cell r="X16">
            <v>20.83</v>
          </cell>
        </row>
        <row r="17">
          <cell r="H17">
            <v>821</v>
          </cell>
          <cell r="P17">
            <v>0</v>
          </cell>
          <cell r="T17">
            <v>0</v>
          </cell>
          <cell r="V17">
            <v>9663.2663422796941</v>
          </cell>
          <cell r="W17">
            <v>8842.2663422796941</v>
          </cell>
          <cell r="X17">
            <v>821</v>
          </cell>
          <cell r="AB17">
            <v>0</v>
          </cell>
          <cell r="AC17">
            <v>0</v>
          </cell>
          <cell r="AD17">
            <v>0</v>
          </cell>
        </row>
        <row r="18">
          <cell r="H18">
            <v>26.58</v>
          </cell>
          <cell r="P18">
            <v>0</v>
          </cell>
          <cell r="T18">
            <v>0</v>
          </cell>
          <cell r="V18">
            <v>339.19365517216505</v>
          </cell>
          <cell r="W18">
            <v>312.61365517216507</v>
          </cell>
          <cell r="X18">
            <v>26.58</v>
          </cell>
          <cell r="AB18">
            <v>0</v>
          </cell>
          <cell r="AC18">
            <v>0</v>
          </cell>
          <cell r="AD18">
            <v>0</v>
          </cell>
        </row>
        <row r="19">
          <cell r="H19">
            <v>0</v>
          </cell>
          <cell r="P19">
            <v>0</v>
          </cell>
          <cell r="T19">
            <v>0</v>
          </cell>
          <cell r="V19">
            <v>277.37805768707824</v>
          </cell>
          <cell r="W19">
            <v>277.37805768707824</v>
          </cell>
          <cell r="X19">
            <v>0</v>
          </cell>
        </row>
        <row r="20">
          <cell r="H20">
            <v>0</v>
          </cell>
          <cell r="P20">
            <v>0</v>
          </cell>
          <cell r="T20">
            <v>1.5</v>
          </cell>
          <cell r="V20">
            <v>48.606473333626504</v>
          </cell>
          <cell r="W20">
            <v>47.106473333626504</v>
          </cell>
          <cell r="X20">
            <v>1.5</v>
          </cell>
        </row>
        <row r="21">
          <cell r="H21">
            <v>0</v>
          </cell>
          <cell r="P21">
            <v>569.26</v>
          </cell>
          <cell r="T21">
            <v>0</v>
          </cell>
          <cell r="V21">
            <v>2751.2167605624427</v>
          </cell>
          <cell r="W21">
            <v>2181.9567605624425</v>
          </cell>
          <cell r="X21">
            <v>569.26</v>
          </cell>
          <cell r="AB21">
            <v>0</v>
          </cell>
          <cell r="AC21">
            <v>0</v>
          </cell>
          <cell r="AD21">
            <v>0</v>
          </cell>
        </row>
        <row r="22">
          <cell r="H22">
            <v>231.9</v>
          </cell>
          <cell r="P22">
            <v>0</v>
          </cell>
          <cell r="T22">
            <v>0</v>
          </cell>
          <cell r="V22">
            <v>2529.2345457164747</v>
          </cell>
          <cell r="W22">
            <v>2297.3345457164742</v>
          </cell>
          <cell r="X22">
            <v>231.9</v>
          </cell>
          <cell r="AB22">
            <v>0</v>
          </cell>
          <cell r="AC22">
            <v>0</v>
          </cell>
          <cell r="AD22">
            <v>0</v>
          </cell>
        </row>
        <row r="23">
          <cell r="H23">
            <v>334.04</v>
          </cell>
          <cell r="P23">
            <v>41.48</v>
          </cell>
          <cell r="T23">
            <v>0</v>
          </cell>
          <cell r="V23">
            <v>7555.6710253561714</v>
          </cell>
          <cell r="W23">
            <v>7180.151025356171</v>
          </cell>
          <cell r="X23">
            <v>375.52000000000004</v>
          </cell>
          <cell r="AB23">
            <v>0</v>
          </cell>
          <cell r="AC23">
            <v>0</v>
          </cell>
          <cell r="AD23">
            <v>0</v>
          </cell>
        </row>
        <row r="24">
          <cell r="H24">
            <v>25.77</v>
          </cell>
          <cell r="P24">
            <v>0</v>
          </cell>
          <cell r="T24">
            <v>0</v>
          </cell>
          <cell r="V24">
            <v>904.53</v>
          </cell>
          <cell r="W24">
            <v>878.76</v>
          </cell>
          <cell r="X24">
            <v>25.77</v>
          </cell>
        </row>
        <row r="25">
          <cell r="H25">
            <v>2582.42</v>
          </cell>
          <cell r="P25">
            <v>0</v>
          </cell>
          <cell r="T25">
            <v>0</v>
          </cell>
          <cell r="V25">
            <v>13481.958129157585</v>
          </cell>
          <cell r="W25">
            <v>10899.538129157583</v>
          </cell>
          <cell r="X25">
            <v>2582.42</v>
          </cell>
          <cell r="AB25">
            <v>0.35</v>
          </cell>
          <cell r="AC25">
            <v>0</v>
          </cell>
          <cell r="AD25">
            <v>0</v>
          </cell>
        </row>
        <row r="26">
          <cell r="H26">
            <v>2826.49</v>
          </cell>
          <cell r="P26">
            <v>0</v>
          </cell>
          <cell r="T26">
            <v>0</v>
          </cell>
          <cell r="V26">
            <v>14129.017073728362</v>
          </cell>
          <cell r="W26">
            <v>11302.527073728363</v>
          </cell>
          <cell r="X26">
            <v>2826.49</v>
          </cell>
          <cell r="AB26">
            <v>0</v>
          </cell>
          <cell r="AC26">
            <v>0</v>
          </cell>
          <cell r="AD26">
            <v>0</v>
          </cell>
        </row>
        <row r="27">
          <cell r="H27">
            <v>677</v>
          </cell>
          <cell r="P27">
            <v>0</v>
          </cell>
          <cell r="T27">
            <v>0</v>
          </cell>
          <cell r="V27">
            <v>8969.812093323595</v>
          </cell>
          <cell r="W27">
            <v>8292.812093323595</v>
          </cell>
          <cell r="X27">
            <v>677</v>
          </cell>
          <cell r="AB27">
            <v>0</v>
          </cell>
          <cell r="AC27">
            <v>0</v>
          </cell>
          <cell r="AD27">
            <v>0</v>
          </cell>
        </row>
        <row r="28">
          <cell r="H28">
            <v>4292.2700000000004</v>
          </cell>
          <cell r="P28">
            <v>0</v>
          </cell>
          <cell r="T28">
            <v>0</v>
          </cell>
          <cell r="V28">
            <v>25374.08591780331</v>
          </cell>
          <cell r="W28">
            <v>21081.815917803309</v>
          </cell>
          <cell r="X28">
            <v>4292.2700000000004</v>
          </cell>
          <cell r="AB28">
            <v>0</v>
          </cell>
          <cell r="AC28">
            <v>0</v>
          </cell>
          <cell r="AD28">
            <v>0</v>
          </cell>
        </row>
        <row r="29">
          <cell r="H29">
            <v>0</v>
          </cell>
          <cell r="P29">
            <v>0</v>
          </cell>
          <cell r="T29">
            <v>0</v>
          </cell>
          <cell r="V29">
            <v>222.20936242094396</v>
          </cell>
          <cell r="W29">
            <v>222.20936242094396</v>
          </cell>
          <cell r="X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H30">
            <v>2820</v>
          </cell>
          <cell r="P30">
            <v>3</v>
          </cell>
          <cell r="T30">
            <v>0</v>
          </cell>
          <cell r="V30">
            <v>38111.521438404117</v>
          </cell>
          <cell r="W30">
            <v>35288.521438404117</v>
          </cell>
          <cell r="X30">
            <v>2823</v>
          </cell>
          <cell r="AB30">
            <v>0</v>
          </cell>
          <cell r="AC30">
            <v>0</v>
          </cell>
          <cell r="AD30">
            <v>0</v>
          </cell>
        </row>
        <row r="31">
          <cell r="H31">
            <v>0</v>
          </cell>
          <cell r="P31">
            <v>30.5</v>
          </cell>
          <cell r="T31">
            <v>0</v>
          </cell>
          <cell r="V31">
            <v>182.48030478680781</v>
          </cell>
          <cell r="W31">
            <v>151.98030478680781</v>
          </cell>
          <cell r="X31">
            <v>30.5</v>
          </cell>
          <cell r="AB31">
            <v>0</v>
          </cell>
          <cell r="AC31">
            <v>0</v>
          </cell>
          <cell r="AD31">
            <v>0</v>
          </cell>
        </row>
        <row r="32">
          <cell r="H32">
            <v>444.56</v>
          </cell>
          <cell r="P32">
            <v>1.38</v>
          </cell>
          <cell r="T32">
            <v>0</v>
          </cell>
          <cell r="V32">
            <v>7873.8954212568797</v>
          </cell>
          <cell r="W32">
            <v>7427.9554212568792</v>
          </cell>
          <cell r="X32">
            <v>445.94</v>
          </cell>
          <cell r="AB32">
            <v>58.3</v>
          </cell>
          <cell r="AC32">
            <v>58</v>
          </cell>
          <cell r="AD32">
            <v>0</v>
          </cell>
        </row>
        <row r="33">
          <cell r="H33">
            <v>204</v>
          </cell>
          <cell r="P33">
            <v>0</v>
          </cell>
          <cell r="T33">
            <v>0</v>
          </cell>
          <cell r="V33">
            <v>8326.3825138253651</v>
          </cell>
          <cell r="W33">
            <v>8122.3825138253642</v>
          </cell>
          <cell r="X33">
            <v>204</v>
          </cell>
          <cell r="AB33">
            <v>0</v>
          </cell>
          <cell r="AC33">
            <v>0</v>
          </cell>
          <cell r="AD33">
            <v>0</v>
          </cell>
        </row>
        <row r="34">
          <cell r="H34">
            <v>0</v>
          </cell>
          <cell r="P34">
            <v>0</v>
          </cell>
          <cell r="T34">
            <v>0</v>
          </cell>
          <cell r="V34">
            <v>223.62891896978471</v>
          </cell>
          <cell r="W34">
            <v>223.62891896978471</v>
          </cell>
          <cell r="X34">
            <v>0</v>
          </cell>
        </row>
        <row r="35">
          <cell r="H35">
            <v>1006</v>
          </cell>
          <cell r="P35">
            <v>0</v>
          </cell>
          <cell r="T35">
            <v>0</v>
          </cell>
          <cell r="V35">
            <v>11853.050432464701</v>
          </cell>
          <cell r="W35">
            <v>10847.050432464701</v>
          </cell>
          <cell r="X35">
            <v>1006</v>
          </cell>
          <cell r="AB35">
            <v>0</v>
          </cell>
          <cell r="AC35">
            <v>0</v>
          </cell>
          <cell r="AD35">
            <v>0</v>
          </cell>
        </row>
        <row r="36">
          <cell r="H36">
            <v>13.6</v>
          </cell>
          <cell r="P36">
            <v>0</v>
          </cell>
          <cell r="T36">
            <v>0</v>
          </cell>
          <cell r="V36">
            <v>910.30300043387342</v>
          </cell>
          <cell r="W36">
            <v>896.7030004338734</v>
          </cell>
          <cell r="X36">
            <v>13.6</v>
          </cell>
        </row>
        <row r="37">
          <cell r="H37">
            <v>0</v>
          </cell>
          <cell r="P37">
            <v>0</v>
          </cell>
          <cell r="T37">
            <v>0</v>
          </cell>
          <cell r="V37">
            <v>59.645558640378844</v>
          </cell>
          <cell r="W37">
            <v>59.645558640378844</v>
          </cell>
          <cell r="X37">
            <v>0</v>
          </cell>
        </row>
        <row r="38">
          <cell r="H38">
            <v>128.02000000000001</v>
          </cell>
          <cell r="P38">
            <v>218.28</v>
          </cell>
          <cell r="T38">
            <v>0</v>
          </cell>
          <cell r="V38">
            <v>2361.2448837849506</v>
          </cell>
          <cell r="W38">
            <v>2014.9448837849504</v>
          </cell>
          <cell r="X38">
            <v>346.3</v>
          </cell>
          <cell r="AB38">
            <v>0</v>
          </cell>
          <cell r="AC38">
            <v>0</v>
          </cell>
          <cell r="AD38">
            <v>0</v>
          </cell>
        </row>
        <row r="39">
          <cell r="H39">
            <v>437.49</v>
          </cell>
          <cell r="P39">
            <v>22.28</v>
          </cell>
          <cell r="T39">
            <v>0</v>
          </cell>
          <cell r="V39">
            <v>2029.3453152215834</v>
          </cell>
          <cell r="W39">
            <v>1569.5753152215834</v>
          </cell>
          <cell r="X39">
            <v>459.77</v>
          </cell>
        </row>
        <row r="40">
          <cell r="H40">
            <v>1036.44</v>
          </cell>
          <cell r="P40">
            <v>0</v>
          </cell>
          <cell r="T40">
            <v>0</v>
          </cell>
          <cell r="V40">
            <v>13364.789489451665</v>
          </cell>
          <cell r="W40">
            <v>12328.349489451663</v>
          </cell>
          <cell r="X40">
            <v>1036.44</v>
          </cell>
          <cell r="AB40">
            <v>0</v>
          </cell>
          <cell r="AC40">
            <v>0</v>
          </cell>
          <cell r="AD40">
            <v>0</v>
          </cell>
        </row>
        <row r="41">
          <cell r="H41">
            <v>286.43</v>
          </cell>
          <cell r="P41">
            <v>0</v>
          </cell>
          <cell r="T41">
            <v>8.4600000000000009</v>
          </cell>
          <cell r="V41">
            <v>5012.3755135861375</v>
          </cell>
          <cell r="W41">
            <v>4717.485513586138</v>
          </cell>
          <cell r="X41">
            <v>294.89</v>
          </cell>
          <cell r="AB41">
            <v>0</v>
          </cell>
          <cell r="AC41">
            <v>0</v>
          </cell>
          <cell r="AD41">
            <v>0</v>
          </cell>
        </row>
        <row r="42">
          <cell r="H42">
            <v>89.98</v>
          </cell>
          <cell r="P42">
            <v>0</v>
          </cell>
          <cell r="T42">
            <v>0</v>
          </cell>
          <cell r="V42">
            <v>1917.5789420556321</v>
          </cell>
          <cell r="W42">
            <v>1827.5989420556321</v>
          </cell>
          <cell r="X42">
            <v>89.98</v>
          </cell>
          <cell r="AB42">
            <v>0</v>
          </cell>
          <cell r="AC42">
            <v>0</v>
          </cell>
          <cell r="AD42">
            <v>0</v>
          </cell>
        </row>
        <row r="43">
          <cell r="H43">
            <v>0</v>
          </cell>
          <cell r="P43">
            <v>29.39</v>
          </cell>
          <cell r="T43">
            <v>0</v>
          </cell>
          <cell r="V43">
            <v>856.88485112559192</v>
          </cell>
          <cell r="W43">
            <v>827.49485112559194</v>
          </cell>
          <cell r="X43">
            <v>29.39</v>
          </cell>
          <cell r="AB43">
            <v>0</v>
          </cell>
          <cell r="AC43">
            <v>0</v>
          </cell>
          <cell r="AD43">
            <v>0</v>
          </cell>
        </row>
        <row r="44">
          <cell r="H44">
            <v>549.55999999999995</v>
          </cell>
          <cell r="P44">
            <v>0</v>
          </cell>
          <cell r="T44">
            <v>0</v>
          </cell>
          <cell r="V44">
            <v>8131.3600690661224</v>
          </cell>
          <cell r="W44">
            <v>7581.8000690661229</v>
          </cell>
          <cell r="X44">
            <v>549.55999999999995</v>
          </cell>
          <cell r="AB44">
            <v>5</v>
          </cell>
          <cell r="AC44">
            <v>5</v>
          </cell>
          <cell r="AD44">
            <v>0</v>
          </cell>
        </row>
        <row r="45">
          <cell r="H45">
            <v>2901.45</v>
          </cell>
          <cell r="P45">
            <v>0</v>
          </cell>
          <cell r="T45">
            <v>0</v>
          </cell>
          <cell r="V45">
            <v>14123.057171414428</v>
          </cell>
          <cell r="W45">
            <v>11221.607171414429</v>
          </cell>
          <cell r="X45">
            <v>2901.45</v>
          </cell>
          <cell r="AB45">
            <v>0</v>
          </cell>
          <cell r="AC45">
            <v>0</v>
          </cell>
          <cell r="AD45">
            <v>0</v>
          </cell>
        </row>
        <row r="46">
          <cell r="H46">
            <v>43.26</v>
          </cell>
          <cell r="P46">
            <v>0</v>
          </cell>
          <cell r="T46">
            <v>0</v>
          </cell>
          <cell r="V46">
            <v>2606.1737030864415</v>
          </cell>
          <cell r="W46">
            <v>2562.9137030864417</v>
          </cell>
          <cell r="X46">
            <v>43.26</v>
          </cell>
        </row>
        <row r="47">
          <cell r="H47">
            <v>41.51</v>
          </cell>
          <cell r="P47">
            <v>0</v>
          </cell>
          <cell r="T47">
            <v>0</v>
          </cell>
          <cell r="V47">
            <v>1316.8814779770537</v>
          </cell>
          <cell r="W47">
            <v>1275.3714779770537</v>
          </cell>
          <cell r="X47">
            <v>41.51</v>
          </cell>
        </row>
        <row r="48">
          <cell r="H48">
            <v>1237.6400000000001</v>
          </cell>
          <cell r="P48">
            <v>0</v>
          </cell>
          <cell r="T48">
            <v>0</v>
          </cell>
          <cell r="V48">
            <v>11161.941416645363</v>
          </cell>
          <cell r="W48">
            <v>9924.3014166453631</v>
          </cell>
          <cell r="X48">
            <v>1237.6400000000001</v>
          </cell>
          <cell r="AB48">
            <v>0</v>
          </cell>
          <cell r="AC48">
            <v>0</v>
          </cell>
          <cell r="AD48">
            <v>0</v>
          </cell>
        </row>
        <row r="49">
          <cell r="H49">
            <v>1.2</v>
          </cell>
          <cell r="P49">
            <v>0</v>
          </cell>
          <cell r="T49">
            <v>0</v>
          </cell>
          <cell r="V49">
            <v>171.16694268711535</v>
          </cell>
          <cell r="W49">
            <v>169.96694268711536</v>
          </cell>
          <cell r="X49">
            <v>1.2</v>
          </cell>
        </row>
        <row r="50">
          <cell r="H50">
            <v>19.28</v>
          </cell>
          <cell r="P50">
            <v>0</v>
          </cell>
          <cell r="T50">
            <v>0</v>
          </cell>
          <cell r="V50">
            <v>2268.4799538655166</v>
          </cell>
          <cell r="W50">
            <v>2249.1999538655164</v>
          </cell>
          <cell r="X50">
            <v>19.28</v>
          </cell>
          <cell r="AB50">
            <v>0</v>
          </cell>
          <cell r="AC50">
            <v>0</v>
          </cell>
          <cell r="AD50">
            <v>0</v>
          </cell>
        </row>
        <row r="51">
          <cell r="H51">
            <v>701</v>
          </cell>
          <cell r="P51">
            <v>954</v>
          </cell>
          <cell r="T51">
            <v>0</v>
          </cell>
          <cell r="V51">
            <v>4940.8198546390458</v>
          </cell>
          <cell r="W51">
            <v>3285.8198546390458</v>
          </cell>
          <cell r="X51">
            <v>1655</v>
          </cell>
          <cell r="AB51">
            <v>0</v>
          </cell>
          <cell r="AC51">
            <v>0</v>
          </cell>
          <cell r="AD51">
            <v>0</v>
          </cell>
        </row>
        <row r="52">
          <cell r="H52">
            <v>23.96</v>
          </cell>
          <cell r="P52">
            <v>0</v>
          </cell>
          <cell r="T52">
            <v>0</v>
          </cell>
          <cell r="V52">
            <v>1971.5923144697013</v>
          </cell>
          <cell r="W52">
            <v>1947.6323144697012</v>
          </cell>
          <cell r="X52">
            <v>23.96</v>
          </cell>
          <cell r="AB52">
            <v>0</v>
          </cell>
          <cell r="AC52">
            <v>0</v>
          </cell>
          <cell r="AD52">
            <v>0</v>
          </cell>
        </row>
        <row r="53">
          <cell r="H53">
            <v>46.38</v>
          </cell>
          <cell r="P53">
            <v>0</v>
          </cell>
          <cell r="T53">
            <v>0</v>
          </cell>
          <cell r="V53">
            <v>2343.283211758212</v>
          </cell>
          <cell r="W53">
            <v>2296.9032117582119</v>
          </cell>
          <cell r="X53">
            <v>46.38</v>
          </cell>
        </row>
        <row r="54">
          <cell r="H54">
            <v>173.36</v>
          </cell>
          <cell r="P54">
            <v>19.3</v>
          </cell>
          <cell r="T54">
            <v>0</v>
          </cell>
          <cell r="V54">
            <v>3206.3208126256923</v>
          </cell>
          <cell r="W54">
            <v>3013.6608126256924</v>
          </cell>
          <cell r="X54">
            <v>192.66000000000003</v>
          </cell>
          <cell r="AB54">
            <v>46.26</v>
          </cell>
          <cell r="AC54">
            <v>46</v>
          </cell>
          <cell r="AD54">
            <v>0</v>
          </cell>
        </row>
        <row r="55">
          <cell r="H55">
            <v>23.71</v>
          </cell>
          <cell r="P55">
            <v>0</v>
          </cell>
          <cell r="T55">
            <v>0</v>
          </cell>
          <cell r="V55">
            <v>514.8110266558773</v>
          </cell>
          <cell r="W55">
            <v>491.10102665587726</v>
          </cell>
          <cell r="X55">
            <v>23.71</v>
          </cell>
          <cell r="AB55">
            <v>3</v>
          </cell>
          <cell r="AC55">
            <v>3</v>
          </cell>
          <cell r="AD55">
            <v>0.5</v>
          </cell>
        </row>
        <row r="56">
          <cell r="H56">
            <v>506.03</v>
          </cell>
          <cell r="P56">
            <v>0</v>
          </cell>
          <cell r="T56">
            <v>0</v>
          </cell>
          <cell r="V56">
            <v>8736.6110109339679</v>
          </cell>
          <cell r="W56">
            <v>8230.5810109339691</v>
          </cell>
          <cell r="X56">
            <v>506.03</v>
          </cell>
          <cell r="AB56">
            <v>18</v>
          </cell>
          <cell r="AC56">
            <v>18</v>
          </cell>
          <cell r="AD56">
            <v>0</v>
          </cell>
        </row>
        <row r="57">
          <cell r="H57">
            <v>0</v>
          </cell>
          <cell r="P57">
            <v>0</v>
          </cell>
          <cell r="T57">
            <v>0</v>
          </cell>
          <cell r="V57">
            <v>2403.4165138142107</v>
          </cell>
          <cell r="W57">
            <v>2403.4165138142107</v>
          </cell>
          <cell r="X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H58">
            <v>5</v>
          </cell>
          <cell r="P58">
            <v>0</v>
          </cell>
          <cell r="T58">
            <v>0</v>
          </cell>
          <cell r="V58">
            <v>2952.3810595063869</v>
          </cell>
          <cell r="W58">
            <v>2947.3810595063869</v>
          </cell>
          <cell r="X58">
            <v>5</v>
          </cell>
          <cell r="AB58">
            <v>0</v>
          </cell>
          <cell r="AC58">
            <v>0</v>
          </cell>
          <cell r="AD58">
            <v>0</v>
          </cell>
        </row>
        <row r="59">
          <cell r="H59">
            <v>979</v>
          </cell>
          <cell r="P59">
            <v>0</v>
          </cell>
          <cell r="T59">
            <v>0</v>
          </cell>
          <cell r="V59">
            <v>14297.856182791609</v>
          </cell>
          <cell r="W59">
            <v>13318.856182791609</v>
          </cell>
          <cell r="X59">
            <v>979</v>
          </cell>
          <cell r="AB59">
            <v>0</v>
          </cell>
          <cell r="AC59">
            <v>0</v>
          </cell>
          <cell r="AD59">
            <v>0</v>
          </cell>
        </row>
        <row r="60">
          <cell r="H60">
            <v>34.01</v>
          </cell>
          <cell r="P60">
            <v>0</v>
          </cell>
          <cell r="T60">
            <v>0</v>
          </cell>
          <cell r="V60">
            <v>1210.9295725311022</v>
          </cell>
          <cell r="W60">
            <v>1176.9195725311022</v>
          </cell>
          <cell r="X60">
            <v>34.01</v>
          </cell>
        </row>
        <row r="61">
          <cell r="H61">
            <v>1143</v>
          </cell>
          <cell r="P61">
            <v>0</v>
          </cell>
          <cell r="T61">
            <v>0</v>
          </cell>
          <cell r="V61">
            <v>15096.141475292965</v>
          </cell>
          <cell r="W61">
            <v>13953.141475292965</v>
          </cell>
          <cell r="X61">
            <v>1143</v>
          </cell>
          <cell r="AB61">
            <v>0</v>
          </cell>
          <cell r="AC61">
            <v>0</v>
          </cell>
          <cell r="AD61">
            <v>0</v>
          </cell>
        </row>
        <row r="62">
          <cell r="H62">
            <v>297</v>
          </cell>
          <cell r="P62">
            <v>22</v>
          </cell>
          <cell r="T62">
            <v>0</v>
          </cell>
          <cell r="V62">
            <v>2105.0814844441738</v>
          </cell>
          <cell r="W62">
            <v>1786.0814844441738</v>
          </cell>
          <cell r="X62">
            <v>319</v>
          </cell>
          <cell r="AB62">
            <v>0</v>
          </cell>
          <cell r="AC62">
            <v>0</v>
          </cell>
          <cell r="AD62">
            <v>0</v>
          </cell>
        </row>
        <row r="63">
          <cell r="H63">
            <v>14.56</v>
          </cell>
          <cell r="P63">
            <v>0</v>
          </cell>
          <cell r="T63">
            <v>0</v>
          </cell>
          <cell r="V63">
            <v>720.0822123910707</v>
          </cell>
          <cell r="W63">
            <v>705.52221239107064</v>
          </cell>
          <cell r="X63">
            <v>14.56</v>
          </cell>
          <cell r="AB63">
            <v>30</v>
          </cell>
          <cell r="AC63">
            <v>30</v>
          </cell>
          <cell r="AD63">
            <v>0</v>
          </cell>
        </row>
        <row r="64">
          <cell r="H64">
            <v>91.85</v>
          </cell>
          <cell r="P64">
            <v>30</v>
          </cell>
          <cell r="T64">
            <v>0</v>
          </cell>
          <cell r="V64">
            <v>4388.915686930437</v>
          </cell>
          <cell r="W64">
            <v>4267.0656869304376</v>
          </cell>
          <cell r="X64">
            <v>121.85</v>
          </cell>
          <cell r="AB64">
            <v>0</v>
          </cell>
          <cell r="AC64">
            <v>0</v>
          </cell>
          <cell r="AD64">
            <v>0</v>
          </cell>
        </row>
        <row r="65">
          <cell r="H65">
            <v>114.5</v>
          </cell>
          <cell r="P65">
            <v>0</v>
          </cell>
          <cell r="T65">
            <v>0</v>
          </cell>
          <cell r="V65">
            <v>3503.8261360004281</v>
          </cell>
          <cell r="W65">
            <v>3389.3261360004281</v>
          </cell>
          <cell r="X65">
            <v>114.5</v>
          </cell>
          <cell r="AB65">
            <v>0</v>
          </cell>
          <cell r="AC65">
            <v>0</v>
          </cell>
          <cell r="AD65">
            <v>0</v>
          </cell>
        </row>
        <row r="66">
          <cell r="H66">
            <v>429.63</v>
          </cell>
          <cell r="P66">
            <v>0</v>
          </cell>
          <cell r="T66">
            <v>0</v>
          </cell>
          <cell r="V66">
            <v>10661.634347337367</v>
          </cell>
          <cell r="W66">
            <v>10232.004347337368</v>
          </cell>
          <cell r="X66">
            <v>429.63</v>
          </cell>
          <cell r="AB66">
            <v>0</v>
          </cell>
          <cell r="AC66">
            <v>0</v>
          </cell>
          <cell r="AD66">
            <v>0</v>
          </cell>
        </row>
        <row r="67">
          <cell r="H67">
            <v>15.28</v>
          </cell>
          <cell r="P67">
            <v>0</v>
          </cell>
          <cell r="T67">
            <v>0</v>
          </cell>
          <cell r="V67">
            <v>1443.3526962017797</v>
          </cell>
          <cell r="W67">
            <v>1428.0726962017798</v>
          </cell>
          <cell r="X67">
            <v>15.28</v>
          </cell>
        </row>
        <row r="68">
          <cell r="H68">
            <v>12</v>
          </cell>
          <cell r="P68">
            <v>5</v>
          </cell>
          <cell r="T68">
            <v>0</v>
          </cell>
          <cell r="V68">
            <v>1278.5975774890805</v>
          </cell>
          <cell r="W68">
            <v>1261.5975774890805</v>
          </cell>
          <cell r="X68">
            <v>17</v>
          </cell>
          <cell r="AB68">
            <v>0</v>
          </cell>
          <cell r="AC68">
            <v>0</v>
          </cell>
          <cell r="AD68">
            <v>0</v>
          </cell>
        </row>
        <row r="69">
          <cell r="H69">
            <v>2050</v>
          </cell>
          <cell r="P69">
            <v>0</v>
          </cell>
          <cell r="T69">
            <v>0</v>
          </cell>
          <cell r="V69">
            <v>23937.588455175846</v>
          </cell>
          <cell r="W69">
            <v>21887.588455175846</v>
          </cell>
          <cell r="X69">
            <v>2050</v>
          </cell>
          <cell r="AB69">
            <v>0</v>
          </cell>
          <cell r="AC69">
            <v>0</v>
          </cell>
          <cell r="AD69">
            <v>0</v>
          </cell>
        </row>
        <row r="70">
          <cell r="H70">
            <v>119.62</v>
          </cell>
          <cell r="P70">
            <v>0</v>
          </cell>
          <cell r="T70">
            <v>0</v>
          </cell>
          <cell r="V70">
            <v>3412.2769394190973</v>
          </cell>
          <cell r="W70">
            <v>3292.6569394190974</v>
          </cell>
          <cell r="X70">
            <v>119.62</v>
          </cell>
        </row>
        <row r="71">
          <cell r="H71">
            <v>23.38</v>
          </cell>
          <cell r="P71">
            <v>0</v>
          </cell>
          <cell r="T71">
            <v>0</v>
          </cell>
          <cell r="V71">
            <v>812.62145454960205</v>
          </cell>
          <cell r="W71">
            <v>789.24145454960194</v>
          </cell>
          <cell r="X71">
            <v>23.38</v>
          </cell>
          <cell r="AB71">
            <v>0.36</v>
          </cell>
          <cell r="AC71">
            <v>0</v>
          </cell>
          <cell r="AD71">
            <v>0</v>
          </cell>
        </row>
        <row r="72">
          <cell r="H72">
            <v>75.09</v>
          </cell>
          <cell r="P72">
            <v>0</v>
          </cell>
          <cell r="T72">
            <v>0</v>
          </cell>
          <cell r="V72">
            <v>5784.1287190610437</v>
          </cell>
          <cell r="W72">
            <v>5709.0387190610436</v>
          </cell>
          <cell r="X72">
            <v>75.09</v>
          </cell>
          <cell r="AB72">
            <v>2</v>
          </cell>
          <cell r="AC72">
            <v>2</v>
          </cell>
          <cell r="AD72">
            <v>0</v>
          </cell>
        </row>
        <row r="73">
          <cell r="H73">
            <v>48.13</v>
          </cell>
          <cell r="P73">
            <v>0</v>
          </cell>
          <cell r="T73">
            <v>0</v>
          </cell>
          <cell r="V73">
            <v>2530.7979467808145</v>
          </cell>
          <cell r="W73">
            <v>2482.6679467808144</v>
          </cell>
          <cell r="X73">
            <v>48.13</v>
          </cell>
        </row>
        <row r="74">
          <cell r="H74">
            <v>1450.21</v>
          </cell>
          <cell r="P74">
            <v>138.69999999999999</v>
          </cell>
          <cell r="T74">
            <v>0</v>
          </cell>
          <cell r="V74">
            <v>19368.33825985339</v>
          </cell>
          <cell r="W74">
            <v>17779.42825985339</v>
          </cell>
          <cell r="X74">
            <v>1588.91</v>
          </cell>
          <cell r="AB74">
            <v>0</v>
          </cell>
          <cell r="AC74">
            <v>0</v>
          </cell>
          <cell r="AD74">
            <v>0</v>
          </cell>
        </row>
        <row r="75">
          <cell r="H75">
            <v>16.97</v>
          </cell>
          <cell r="P75">
            <v>0</v>
          </cell>
          <cell r="T75">
            <v>0</v>
          </cell>
          <cell r="V75">
            <v>495.91214320229506</v>
          </cell>
          <cell r="W75">
            <v>478.94214320229503</v>
          </cell>
          <cell r="X75">
            <v>16.97</v>
          </cell>
          <cell r="AB75">
            <v>0</v>
          </cell>
          <cell r="AC75">
            <v>0</v>
          </cell>
          <cell r="AD75">
            <v>0</v>
          </cell>
        </row>
        <row r="76">
          <cell r="H76">
            <v>6.05</v>
          </cell>
          <cell r="P76">
            <v>0</v>
          </cell>
          <cell r="T76">
            <v>0</v>
          </cell>
          <cell r="V76">
            <v>157.5</v>
          </cell>
          <cell r="W76">
            <v>151.44999999999999</v>
          </cell>
          <cell r="X76">
            <v>6.05</v>
          </cell>
          <cell r="AB76">
            <v>0</v>
          </cell>
          <cell r="AC76">
            <v>0</v>
          </cell>
          <cell r="AD76">
            <v>0</v>
          </cell>
        </row>
        <row r="77">
          <cell r="H77">
            <v>342.85</v>
          </cell>
          <cell r="P77">
            <v>0</v>
          </cell>
          <cell r="T77">
            <v>0</v>
          </cell>
          <cell r="V77">
            <v>8597.4578153920957</v>
          </cell>
          <cell r="W77">
            <v>8254.6078153920953</v>
          </cell>
          <cell r="X77">
            <v>342.85</v>
          </cell>
          <cell r="AB77">
            <v>0</v>
          </cell>
          <cell r="AC77">
            <v>0</v>
          </cell>
          <cell r="AD77">
            <v>0</v>
          </cell>
        </row>
        <row r="78">
          <cell r="H78">
            <v>643.94000000000005</v>
          </cell>
          <cell r="P78">
            <v>0</v>
          </cell>
          <cell r="T78">
            <v>0</v>
          </cell>
          <cell r="V78">
            <v>15853.300828853358</v>
          </cell>
          <cell r="W78">
            <v>15209.360828853358</v>
          </cell>
          <cell r="X78">
            <v>643.94000000000005</v>
          </cell>
          <cell r="AB78">
            <v>0</v>
          </cell>
          <cell r="AC78">
            <v>0</v>
          </cell>
          <cell r="AD78">
            <v>0</v>
          </cell>
        </row>
        <row r="79">
          <cell r="H79">
            <v>365.61</v>
          </cell>
          <cell r="P79">
            <v>0</v>
          </cell>
          <cell r="T79">
            <v>0</v>
          </cell>
          <cell r="V79">
            <v>3374.8191971281176</v>
          </cell>
          <cell r="W79">
            <v>3009.2091971281179</v>
          </cell>
          <cell r="X79">
            <v>365.61</v>
          </cell>
          <cell r="AB79">
            <v>0</v>
          </cell>
          <cell r="AC79">
            <v>0</v>
          </cell>
          <cell r="AD79">
            <v>0</v>
          </cell>
        </row>
        <row r="80">
          <cell r="H80">
            <v>110.64</v>
          </cell>
          <cell r="P80">
            <v>0</v>
          </cell>
          <cell r="T80">
            <v>0</v>
          </cell>
          <cell r="V80">
            <v>1901.6294565187368</v>
          </cell>
          <cell r="W80">
            <v>1790.9894565187369</v>
          </cell>
          <cell r="X80">
            <v>110.64</v>
          </cell>
          <cell r="AB80">
            <v>0</v>
          </cell>
          <cell r="AC80">
            <v>0</v>
          </cell>
          <cell r="AD80">
            <v>0</v>
          </cell>
        </row>
        <row r="81">
          <cell r="H81">
            <v>96.68</v>
          </cell>
          <cell r="P81">
            <v>0</v>
          </cell>
          <cell r="T81">
            <v>0</v>
          </cell>
          <cell r="V81">
            <v>2775.0406088346581</v>
          </cell>
          <cell r="W81">
            <v>2678.3606088346578</v>
          </cell>
          <cell r="X81">
            <v>96.68</v>
          </cell>
          <cell r="AB81">
            <v>0</v>
          </cell>
          <cell r="AC81">
            <v>0</v>
          </cell>
          <cell r="AD81">
            <v>0</v>
          </cell>
        </row>
        <row r="82">
          <cell r="H82">
            <v>31.07</v>
          </cell>
          <cell r="P82">
            <v>0</v>
          </cell>
          <cell r="T82">
            <v>0</v>
          </cell>
          <cell r="V82">
            <v>1872.0429613949414</v>
          </cell>
          <cell r="W82">
            <v>1840.9729613949414</v>
          </cell>
          <cell r="X82">
            <v>31.07</v>
          </cell>
        </row>
        <row r="83">
          <cell r="H83">
            <v>4.37</v>
          </cell>
          <cell r="P83">
            <v>0</v>
          </cell>
          <cell r="T83">
            <v>36</v>
          </cell>
          <cell r="V83">
            <v>141.07999999999998</v>
          </cell>
          <cell r="W83">
            <v>100.71</v>
          </cell>
          <cell r="X83">
            <v>40.369999999999997</v>
          </cell>
        </row>
        <row r="84">
          <cell r="H84">
            <v>160.5</v>
          </cell>
          <cell r="P84">
            <v>0.67999999999999994</v>
          </cell>
          <cell r="T84">
            <v>0</v>
          </cell>
          <cell r="V84">
            <v>2286.0492819291967</v>
          </cell>
          <cell r="W84">
            <v>2124.8692819291969</v>
          </cell>
          <cell r="X84">
            <v>161.18</v>
          </cell>
          <cell r="AB84">
            <v>0</v>
          </cell>
          <cell r="AC84">
            <v>0</v>
          </cell>
          <cell r="AD84">
            <v>0</v>
          </cell>
        </row>
        <row r="85">
          <cell r="H85">
            <v>60.53</v>
          </cell>
          <cell r="P85">
            <v>0</v>
          </cell>
          <cell r="T85">
            <v>0</v>
          </cell>
          <cell r="V85">
            <v>2369.963692324679</v>
          </cell>
          <cell r="W85">
            <v>2309.4336923246792</v>
          </cell>
          <cell r="X85">
            <v>60.53</v>
          </cell>
        </row>
        <row r="86">
          <cell r="H86">
            <v>22.1</v>
          </cell>
          <cell r="P86">
            <v>0</v>
          </cell>
          <cell r="T86">
            <v>0</v>
          </cell>
          <cell r="V86">
            <v>3783.3135727396166</v>
          </cell>
          <cell r="W86">
            <v>3761.2135727396162</v>
          </cell>
          <cell r="X86">
            <v>22.1</v>
          </cell>
        </row>
        <row r="87">
          <cell r="H87">
            <v>34.94</v>
          </cell>
          <cell r="P87">
            <v>0</v>
          </cell>
          <cell r="T87">
            <v>0</v>
          </cell>
          <cell r="V87">
            <v>1003.7853338759837</v>
          </cell>
          <cell r="W87">
            <v>968.84533387598367</v>
          </cell>
          <cell r="X87">
            <v>34.94</v>
          </cell>
        </row>
        <row r="88">
          <cell r="H88">
            <v>13.19</v>
          </cell>
          <cell r="P88">
            <v>0</v>
          </cell>
          <cell r="T88">
            <v>0</v>
          </cell>
          <cell r="V88">
            <v>317.44190872957893</v>
          </cell>
          <cell r="W88">
            <v>304.25190872957893</v>
          </cell>
          <cell r="X88">
            <v>13.19</v>
          </cell>
        </row>
        <row r="89">
          <cell r="H89">
            <v>1339.64</v>
          </cell>
          <cell r="P89">
            <v>0</v>
          </cell>
          <cell r="T89">
            <v>0</v>
          </cell>
          <cell r="V89">
            <v>16717.426196452623</v>
          </cell>
          <cell r="W89">
            <v>15377.786196452622</v>
          </cell>
          <cell r="X89">
            <v>1339.64</v>
          </cell>
          <cell r="AB89">
            <v>2.56</v>
          </cell>
          <cell r="AC89">
            <v>2</v>
          </cell>
          <cell r="AD89">
            <v>0</v>
          </cell>
        </row>
        <row r="90">
          <cell r="H90">
            <v>356.57</v>
          </cell>
          <cell r="P90">
            <v>0</v>
          </cell>
          <cell r="T90">
            <v>0</v>
          </cell>
          <cell r="V90">
            <v>6269.0875160950254</v>
          </cell>
          <cell r="W90">
            <v>5912.5175160950257</v>
          </cell>
          <cell r="X90">
            <v>356.57</v>
          </cell>
          <cell r="AB90">
            <v>0</v>
          </cell>
          <cell r="AC90">
            <v>0</v>
          </cell>
          <cell r="AD90">
            <v>0</v>
          </cell>
        </row>
        <row r="91">
          <cell r="H91">
            <v>948.14</v>
          </cell>
          <cell r="P91">
            <v>0</v>
          </cell>
          <cell r="T91">
            <v>17.43</v>
          </cell>
          <cell r="V91">
            <v>26795.72683365675</v>
          </cell>
          <cell r="W91">
            <v>25830.156833656751</v>
          </cell>
          <cell r="X91">
            <v>965.56999999999994</v>
          </cell>
          <cell r="AB91">
            <v>0</v>
          </cell>
          <cell r="AC91">
            <v>0</v>
          </cell>
          <cell r="AD91">
            <v>0</v>
          </cell>
        </row>
        <row r="92">
          <cell r="H92">
            <v>0</v>
          </cell>
          <cell r="P92">
            <v>5</v>
          </cell>
          <cell r="T92">
            <v>0.3</v>
          </cell>
          <cell r="V92">
            <v>695.16614866433758</v>
          </cell>
          <cell r="W92">
            <v>689.86614866433763</v>
          </cell>
          <cell r="X92">
            <v>5.3</v>
          </cell>
          <cell r="AB92">
            <v>0</v>
          </cell>
          <cell r="AC92">
            <v>0</v>
          </cell>
          <cell r="AD92">
            <v>0</v>
          </cell>
        </row>
        <row r="93">
          <cell r="H93">
            <v>19.600000000000001</v>
          </cell>
          <cell r="P93">
            <v>0</v>
          </cell>
          <cell r="T93">
            <v>1.24</v>
          </cell>
          <cell r="V93">
            <v>4640.7962986153143</v>
          </cell>
          <cell r="W93">
            <v>4619.9562986153142</v>
          </cell>
          <cell r="X93">
            <v>20.84</v>
          </cell>
          <cell r="AB93">
            <v>782.1</v>
          </cell>
          <cell r="AC93">
            <v>782</v>
          </cell>
          <cell r="AD93">
            <v>0</v>
          </cell>
        </row>
        <row r="94">
          <cell r="H94">
            <v>64.05</v>
          </cell>
          <cell r="P94">
            <v>12.1</v>
          </cell>
          <cell r="T94">
            <v>1</v>
          </cell>
          <cell r="V94">
            <v>3219.8878615391045</v>
          </cell>
          <cell r="W94">
            <v>3142.7378615391049</v>
          </cell>
          <cell r="X94">
            <v>77.149999999999991</v>
          </cell>
          <cell r="AB94">
            <v>3582.81</v>
          </cell>
          <cell r="AC94">
            <v>3582</v>
          </cell>
          <cell r="AD94">
            <v>0</v>
          </cell>
        </row>
        <row r="95">
          <cell r="H95">
            <v>1165</v>
          </cell>
          <cell r="P95">
            <v>0</v>
          </cell>
          <cell r="T95">
            <v>0</v>
          </cell>
          <cell r="V95">
            <v>14052.344216050671</v>
          </cell>
          <cell r="W95">
            <v>12887.344216050671</v>
          </cell>
          <cell r="X95">
            <v>1165</v>
          </cell>
          <cell r="AB95">
            <v>0</v>
          </cell>
          <cell r="AC95">
            <v>0</v>
          </cell>
          <cell r="AD95">
            <v>0</v>
          </cell>
        </row>
        <row r="96">
          <cell r="H96">
            <v>1522.23</v>
          </cell>
          <cell r="P96">
            <v>1.21</v>
          </cell>
          <cell r="T96">
            <v>0</v>
          </cell>
          <cell r="V96">
            <v>21179.677092589161</v>
          </cell>
          <cell r="W96">
            <v>19656.237092589159</v>
          </cell>
          <cell r="X96">
            <v>1523.44</v>
          </cell>
          <cell r="AB96">
            <v>0</v>
          </cell>
          <cell r="AC96">
            <v>0</v>
          </cell>
          <cell r="AD96">
            <v>0</v>
          </cell>
        </row>
        <row r="97">
          <cell r="H97">
            <v>1243.4000000000001</v>
          </cell>
          <cell r="P97">
            <v>0</v>
          </cell>
          <cell r="T97">
            <v>0</v>
          </cell>
          <cell r="V97">
            <v>11679.251005713975</v>
          </cell>
          <cell r="W97">
            <v>10435.851005713977</v>
          </cell>
          <cell r="X97">
            <v>1243.4000000000001</v>
          </cell>
          <cell r="AB97">
            <v>0</v>
          </cell>
          <cell r="AC97">
            <v>0</v>
          </cell>
          <cell r="AD97">
            <v>0</v>
          </cell>
        </row>
        <row r="98">
          <cell r="H98">
            <v>613.54999999999995</v>
          </cell>
          <cell r="P98">
            <v>0</v>
          </cell>
          <cell r="T98">
            <v>0</v>
          </cell>
          <cell r="V98">
            <v>9570.5855101918387</v>
          </cell>
          <cell r="W98">
            <v>8957.0355101918376</v>
          </cell>
          <cell r="X98">
            <v>613.54999999999995</v>
          </cell>
          <cell r="AB98">
            <v>0</v>
          </cell>
          <cell r="AC98">
            <v>0</v>
          </cell>
          <cell r="AD98">
            <v>0</v>
          </cell>
        </row>
        <row r="99">
          <cell r="H99">
            <v>385</v>
          </cell>
          <cell r="P99">
            <v>0</v>
          </cell>
          <cell r="T99">
            <v>0</v>
          </cell>
          <cell r="V99">
            <v>7149.2948184889729</v>
          </cell>
          <cell r="W99">
            <v>6764.2948184889729</v>
          </cell>
          <cell r="X99">
            <v>385</v>
          </cell>
        </row>
        <row r="100">
          <cell r="H100">
            <v>1495</v>
          </cell>
          <cell r="P100">
            <v>0</v>
          </cell>
          <cell r="T100">
            <v>0</v>
          </cell>
          <cell r="V100">
            <v>12152.07685587635</v>
          </cell>
          <cell r="W100">
            <v>10657.07685587635</v>
          </cell>
          <cell r="X100">
            <v>1495</v>
          </cell>
          <cell r="AB100">
            <v>0</v>
          </cell>
          <cell r="AC100">
            <v>0</v>
          </cell>
          <cell r="AD100">
            <v>0</v>
          </cell>
        </row>
        <row r="101">
          <cell r="H101">
            <v>504</v>
          </cell>
          <cell r="P101">
            <v>0</v>
          </cell>
          <cell r="T101">
            <v>0</v>
          </cell>
          <cell r="V101">
            <v>3870.8166948680418</v>
          </cell>
          <cell r="W101">
            <v>3366.8166948680418</v>
          </cell>
          <cell r="X101">
            <v>504</v>
          </cell>
          <cell r="AB101">
            <v>19</v>
          </cell>
          <cell r="AC101">
            <v>19</v>
          </cell>
          <cell r="AD101">
            <v>0</v>
          </cell>
        </row>
        <row r="102">
          <cell r="H102">
            <v>754.1</v>
          </cell>
          <cell r="P102">
            <v>0</v>
          </cell>
          <cell r="T102">
            <v>0</v>
          </cell>
          <cell r="V102">
            <v>9450.3722777941184</v>
          </cell>
          <cell r="W102">
            <v>8696.2722777941181</v>
          </cell>
          <cell r="X102">
            <v>754.1</v>
          </cell>
          <cell r="AB102">
            <v>0</v>
          </cell>
          <cell r="AC102">
            <v>0</v>
          </cell>
          <cell r="AD102">
            <v>0</v>
          </cell>
        </row>
        <row r="103">
          <cell r="H103">
            <v>516</v>
          </cell>
          <cell r="P103">
            <v>0</v>
          </cell>
          <cell r="T103">
            <v>0</v>
          </cell>
          <cell r="V103">
            <v>8852.2978396992294</v>
          </cell>
          <cell r="W103">
            <v>8336.2978396992294</v>
          </cell>
          <cell r="X103">
            <v>516</v>
          </cell>
          <cell r="AB103">
            <v>0</v>
          </cell>
          <cell r="AC103">
            <v>0</v>
          </cell>
          <cell r="AD103">
            <v>0</v>
          </cell>
        </row>
        <row r="104">
          <cell r="H104">
            <v>2474</v>
          </cell>
          <cell r="P104">
            <v>0</v>
          </cell>
          <cell r="T104">
            <v>0</v>
          </cell>
          <cell r="V104">
            <v>24510.128015196249</v>
          </cell>
          <cell r="W104">
            <v>22036.128015196249</v>
          </cell>
          <cell r="X104">
            <v>2474</v>
          </cell>
          <cell r="AB104">
            <v>0</v>
          </cell>
          <cell r="AC104">
            <v>0</v>
          </cell>
          <cell r="AD104">
            <v>0</v>
          </cell>
        </row>
        <row r="105">
          <cell r="H105">
            <v>99.82</v>
          </cell>
          <cell r="P105">
            <v>0</v>
          </cell>
          <cell r="T105">
            <v>0</v>
          </cell>
          <cell r="V105">
            <v>2980.9210361616551</v>
          </cell>
          <cell r="W105">
            <v>2881.1010361616554</v>
          </cell>
          <cell r="X105">
            <v>99.82</v>
          </cell>
        </row>
        <row r="106">
          <cell r="H106">
            <v>56.52</v>
          </cell>
          <cell r="P106">
            <v>0</v>
          </cell>
          <cell r="T106">
            <v>0</v>
          </cell>
          <cell r="V106">
            <v>3121.6253039774642</v>
          </cell>
          <cell r="W106">
            <v>3065.1053039774642</v>
          </cell>
          <cell r="X106">
            <v>56.52</v>
          </cell>
        </row>
        <row r="107">
          <cell r="H107">
            <v>1717</v>
          </cell>
          <cell r="P107">
            <v>0</v>
          </cell>
          <cell r="T107">
            <v>0</v>
          </cell>
          <cell r="V107">
            <v>6972.1651256118948</v>
          </cell>
          <cell r="W107">
            <v>5255.1651256118948</v>
          </cell>
          <cell r="X107">
            <v>1717</v>
          </cell>
          <cell r="AB107">
            <v>0</v>
          </cell>
          <cell r="AC107">
            <v>0</v>
          </cell>
          <cell r="AD107">
            <v>0</v>
          </cell>
        </row>
        <row r="108">
          <cell r="H108">
            <v>194</v>
          </cell>
          <cell r="P108">
            <v>0</v>
          </cell>
          <cell r="T108">
            <v>0</v>
          </cell>
          <cell r="V108">
            <v>2849.107121754595</v>
          </cell>
          <cell r="W108">
            <v>2655.107121754595</v>
          </cell>
          <cell r="X108">
            <v>194</v>
          </cell>
          <cell r="AB108">
            <v>0</v>
          </cell>
          <cell r="AC108">
            <v>0</v>
          </cell>
          <cell r="AD108">
            <v>0</v>
          </cell>
        </row>
        <row r="109">
          <cell r="H109">
            <v>2082.96</v>
          </cell>
          <cell r="P109">
            <v>0</v>
          </cell>
          <cell r="T109">
            <v>0</v>
          </cell>
          <cell r="V109">
            <v>23915.63716361871</v>
          </cell>
          <cell r="W109">
            <v>21832.677163618711</v>
          </cell>
          <cell r="X109">
            <v>2082.96</v>
          </cell>
          <cell r="AB109">
            <v>0</v>
          </cell>
          <cell r="AC109">
            <v>0</v>
          </cell>
          <cell r="AD109">
            <v>0</v>
          </cell>
        </row>
        <row r="110">
          <cell r="H110">
            <v>1142</v>
          </cell>
          <cell r="P110">
            <v>0</v>
          </cell>
          <cell r="T110">
            <v>290.52999999999997</v>
          </cell>
          <cell r="V110">
            <v>17567.665388343805</v>
          </cell>
          <cell r="W110">
            <v>16135.135388343804</v>
          </cell>
          <cell r="X110">
            <v>1432.53</v>
          </cell>
          <cell r="AB110">
            <v>0</v>
          </cell>
          <cell r="AC110">
            <v>0</v>
          </cell>
          <cell r="AD110">
            <v>0</v>
          </cell>
        </row>
        <row r="111">
          <cell r="H111">
            <v>396.7</v>
          </cell>
          <cell r="P111">
            <v>0</v>
          </cell>
          <cell r="T111">
            <v>0</v>
          </cell>
          <cell r="V111">
            <v>9063.9764008769453</v>
          </cell>
          <cell r="W111">
            <v>8667.2764008769445</v>
          </cell>
          <cell r="X111">
            <v>396.7</v>
          </cell>
          <cell r="AB111">
            <v>0</v>
          </cell>
          <cell r="AC111">
            <v>0</v>
          </cell>
          <cell r="AD111">
            <v>0</v>
          </cell>
        </row>
        <row r="112">
          <cell r="H112">
            <v>0</v>
          </cell>
          <cell r="P112">
            <v>66</v>
          </cell>
          <cell r="T112">
            <v>0</v>
          </cell>
          <cell r="V112">
            <v>670.20192934761315</v>
          </cell>
          <cell r="W112">
            <v>604.20192934761315</v>
          </cell>
          <cell r="X112">
            <v>66</v>
          </cell>
        </row>
        <row r="113">
          <cell r="H113">
            <v>15.72</v>
          </cell>
          <cell r="P113">
            <v>0</v>
          </cell>
          <cell r="T113">
            <v>0</v>
          </cell>
          <cell r="V113">
            <v>1110.4842632194996</v>
          </cell>
          <cell r="W113">
            <v>1094.7642632194995</v>
          </cell>
          <cell r="X113">
            <v>15.72</v>
          </cell>
          <cell r="AB113">
            <v>0</v>
          </cell>
          <cell r="AC113">
            <v>0</v>
          </cell>
          <cell r="AD113">
            <v>0</v>
          </cell>
        </row>
        <row r="114">
          <cell r="H114">
            <v>1001.65</v>
          </cell>
          <cell r="P114">
            <v>0</v>
          </cell>
          <cell r="T114">
            <v>0</v>
          </cell>
          <cell r="V114">
            <v>15215.861197344722</v>
          </cell>
          <cell r="W114">
            <v>14214.211197344723</v>
          </cell>
          <cell r="X114">
            <v>1001.65</v>
          </cell>
          <cell r="AB114">
            <v>0</v>
          </cell>
          <cell r="AC114">
            <v>0</v>
          </cell>
          <cell r="AD114">
            <v>0</v>
          </cell>
        </row>
        <row r="115">
          <cell r="H115">
            <v>922</v>
          </cell>
          <cell r="P115">
            <v>0</v>
          </cell>
          <cell r="T115">
            <v>0</v>
          </cell>
          <cell r="V115">
            <v>12171.448427359217</v>
          </cell>
          <cell r="W115">
            <v>11249.448427359217</v>
          </cell>
          <cell r="X115">
            <v>922</v>
          </cell>
        </row>
        <row r="116">
          <cell r="H116">
            <v>32.619999999999997</v>
          </cell>
          <cell r="P116">
            <v>0</v>
          </cell>
          <cell r="T116">
            <v>0</v>
          </cell>
          <cell r="V116">
            <v>1114.4105109836837</v>
          </cell>
          <cell r="W116">
            <v>1081.7905109836836</v>
          </cell>
          <cell r="X116">
            <v>32.619999999999997</v>
          </cell>
          <cell r="AB116">
            <v>0</v>
          </cell>
          <cell r="AC116">
            <v>0</v>
          </cell>
          <cell r="AD116">
            <v>0</v>
          </cell>
        </row>
        <row r="117">
          <cell r="H117">
            <v>17.559999999999999</v>
          </cell>
          <cell r="P117">
            <v>0</v>
          </cell>
          <cell r="T117">
            <v>0</v>
          </cell>
          <cell r="V117">
            <v>529.76334709094704</v>
          </cell>
          <cell r="W117">
            <v>512.20334709094709</v>
          </cell>
          <cell r="X117">
            <v>17.559999999999999</v>
          </cell>
        </row>
        <row r="118">
          <cell r="H118">
            <v>96</v>
          </cell>
          <cell r="P118">
            <v>3.92</v>
          </cell>
          <cell r="T118">
            <v>0</v>
          </cell>
          <cell r="V118">
            <v>3078.63698135709</v>
          </cell>
          <cell r="W118">
            <v>2978.7169813570904</v>
          </cell>
          <cell r="X118">
            <v>99.92</v>
          </cell>
        </row>
        <row r="119">
          <cell r="H119">
            <v>671</v>
          </cell>
          <cell r="P119">
            <v>1516</v>
          </cell>
          <cell r="T119">
            <v>0</v>
          </cell>
          <cell r="V119">
            <v>8961.3095388558468</v>
          </cell>
          <cell r="W119">
            <v>6774.3095388558468</v>
          </cell>
          <cell r="X119">
            <v>2187</v>
          </cell>
          <cell r="AB119">
            <v>0</v>
          </cell>
          <cell r="AC119">
            <v>0</v>
          </cell>
          <cell r="AD119">
            <v>0</v>
          </cell>
        </row>
        <row r="120">
          <cell r="H120">
            <v>7.49</v>
          </cell>
          <cell r="P120">
            <v>0</v>
          </cell>
          <cell r="T120">
            <v>0</v>
          </cell>
          <cell r="V120">
            <v>207.2049530106674</v>
          </cell>
          <cell r="W120">
            <v>199.71495301066739</v>
          </cell>
          <cell r="X120">
            <v>7.49</v>
          </cell>
        </row>
        <row r="121">
          <cell r="H121">
            <v>0</v>
          </cell>
          <cell r="P121">
            <v>0</v>
          </cell>
          <cell r="T121">
            <v>0</v>
          </cell>
          <cell r="V121">
            <v>52.514154441791995</v>
          </cell>
          <cell r="W121">
            <v>52.514154441791995</v>
          </cell>
          <cell r="X121">
            <v>0</v>
          </cell>
        </row>
        <row r="122">
          <cell r="H122">
            <v>0</v>
          </cell>
          <cell r="P122">
            <v>10</v>
          </cell>
          <cell r="T122">
            <v>0</v>
          </cell>
          <cell r="V122">
            <v>32.653268148667756</v>
          </cell>
          <cell r="W122">
            <v>22.653268148667756</v>
          </cell>
          <cell r="X122">
            <v>10</v>
          </cell>
          <cell r="AB122">
            <v>0</v>
          </cell>
          <cell r="AC122">
            <v>0</v>
          </cell>
          <cell r="AD122">
            <v>0</v>
          </cell>
        </row>
        <row r="123">
          <cell r="H123">
            <v>84.64</v>
          </cell>
          <cell r="P123">
            <v>0</v>
          </cell>
          <cell r="T123">
            <v>0</v>
          </cell>
          <cell r="V123">
            <v>754.0135502205228</v>
          </cell>
          <cell r="W123">
            <v>669.3735502205227</v>
          </cell>
          <cell r="X123">
            <v>84.64</v>
          </cell>
        </row>
        <row r="124">
          <cell r="H124">
            <v>558</v>
          </cell>
          <cell r="P124">
            <v>0</v>
          </cell>
          <cell r="T124">
            <v>0</v>
          </cell>
          <cell r="V124">
            <v>6054.0234794422458</v>
          </cell>
          <cell r="W124">
            <v>5496.0234794422458</v>
          </cell>
          <cell r="X124">
            <v>558</v>
          </cell>
          <cell r="AB124">
            <v>0</v>
          </cell>
          <cell r="AC124">
            <v>0</v>
          </cell>
          <cell r="AD124">
            <v>0</v>
          </cell>
        </row>
        <row r="125">
          <cell r="H125">
            <v>3.96</v>
          </cell>
          <cell r="P125">
            <v>9.41</v>
          </cell>
          <cell r="T125">
            <v>0</v>
          </cell>
          <cell r="V125">
            <v>202.0048555374313</v>
          </cell>
          <cell r="W125">
            <v>188.63485553743129</v>
          </cell>
          <cell r="X125">
            <v>13.370000000000001</v>
          </cell>
        </row>
        <row r="126">
          <cell r="H126">
            <v>0</v>
          </cell>
          <cell r="P126">
            <v>0</v>
          </cell>
          <cell r="T126">
            <v>0</v>
          </cell>
          <cell r="V126">
            <v>845.38137666054081</v>
          </cell>
          <cell r="W126">
            <v>845.38137666054081</v>
          </cell>
          <cell r="X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H127">
            <v>449.77</v>
          </cell>
          <cell r="P127">
            <v>0</v>
          </cell>
          <cell r="T127">
            <v>0</v>
          </cell>
          <cell r="V127">
            <v>6793.2637776724468</v>
          </cell>
          <cell r="W127">
            <v>6343.4937776724464</v>
          </cell>
          <cell r="X127">
            <v>449.77</v>
          </cell>
          <cell r="AB127">
            <v>0</v>
          </cell>
          <cell r="AC127">
            <v>0</v>
          </cell>
          <cell r="AD127">
            <v>0</v>
          </cell>
        </row>
        <row r="128">
          <cell r="H128">
            <v>1126.83</v>
          </cell>
          <cell r="P128">
            <v>24.509999999999998</v>
          </cell>
          <cell r="T128">
            <v>2.35</v>
          </cell>
          <cell r="V128">
            <v>5441.3844310885388</v>
          </cell>
          <cell r="W128">
            <v>4287.6944310885383</v>
          </cell>
          <cell r="X128">
            <v>1153.6899999999998</v>
          </cell>
          <cell r="AB128">
            <v>22.13</v>
          </cell>
          <cell r="AC128">
            <v>20</v>
          </cell>
          <cell r="AD128">
            <v>2.73</v>
          </cell>
        </row>
        <row r="129">
          <cell r="H129">
            <v>256.22000000000003</v>
          </cell>
          <cell r="P129">
            <v>0</v>
          </cell>
          <cell r="T129">
            <v>0</v>
          </cell>
          <cell r="V129">
            <v>4586.0792316781835</v>
          </cell>
          <cell r="W129">
            <v>4329.8592316781833</v>
          </cell>
          <cell r="X129">
            <v>256.22000000000003</v>
          </cell>
          <cell r="AB129">
            <v>0</v>
          </cell>
          <cell r="AC129">
            <v>0</v>
          </cell>
          <cell r="AD129">
            <v>0</v>
          </cell>
        </row>
        <row r="130">
          <cell r="H130">
            <v>1465</v>
          </cell>
          <cell r="P130">
            <v>0</v>
          </cell>
          <cell r="T130">
            <v>0</v>
          </cell>
          <cell r="V130">
            <v>19918.031878006936</v>
          </cell>
          <cell r="W130">
            <v>18453.031878006936</v>
          </cell>
          <cell r="X130">
            <v>1465</v>
          </cell>
          <cell r="AB130">
            <v>0</v>
          </cell>
          <cell r="AC130">
            <v>0</v>
          </cell>
          <cell r="AD130">
            <v>0</v>
          </cell>
        </row>
        <row r="131">
          <cell r="H131">
            <v>408.21</v>
          </cell>
          <cell r="P131">
            <v>0</v>
          </cell>
          <cell r="T131">
            <v>0</v>
          </cell>
          <cell r="V131">
            <v>7503.06</v>
          </cell>
          <cell r="W131">
            <v>7094.85</v>
          </cell>
          <cell r="X131">
            <v>408.21</v>
          </cell>
          <cell r="AB131">
            <v>0</v>
          </cell>
          <cell r="AC131">
            <v>0</v>
          </cell>
          <cell r="AD131">
            <v>0</v>
          </cell>
        </row>
        <row r="132">
          <cell r="H132">
            <v>32.159999999999997</v>
          </cell>
          <cell r="P132">
            <v>0</v>
          </cell>
          <cell r="T132">
            <v>0</v>
          </cell>
          <cell r="V132">
            <v>2680.7178066892011</v>
          </cell>
          <cell r="W132">
            <v>2648.5578066892012</v>
          </cell>
          <cell r="X132">
            <v>32.159999999999997</v>
          </cell>
          <cell r="AB132">
            <v>0</v>
          </cell>
          <cell r="AC132">
            <v>0</v>
          </cell>
          <cell r="AD132">
            <v>0</v>
          </cell>
        </row>
      </sheetData>
      <sheetData sheetId="4">
        <row r="5">
          <cell r="H5">
            <v>0</v>
          </cell>
          <cell r="L5">
            <v>35</v>
          </cell>
          <cell r="P5">
            <v>0</v>
          </cell>
          <cell r="T5">
            <v>0</v>
          </cell>
          <cell r="V5">
            <v>19292.11</v>
          </cell>
          <cell r="W5">
            <v>19257.11</v>
          </cell>
          <cell r="X5">
            <v>35</v>
          </cell>
          <cell r="AD5">
            <v>601.25</v>
          </cell>
          <cell r="AE5">
            <v>601</v>
          </cell>
          <cell r="AF5">
            <v>0</v>
          </cell>
        </row>
        <row r="6">
          <cell r="H6">
            <v>0</v>
          </cell>
          <cell r="L6">
            <v>30.65</v>
          </cell>
          <cell r="P6">
            <v>0</v>
          </cell>
          <cell r="T6">
            <v>0</v>
          </cell>
          <cell r="V6">
            <v>4659.1000000000004</v>
          </cell>
          <cell r="W6">
            <v>4628.4500000000007</v>
          </cell>
          <cell r="X6">
            <v>30.65</v>
          </cell>
          <cell r="AD6">
            <v>0</v>
          </cell>
          <cell r="AE6">
            <v>0</v>
          </cell>
          <cell r="AF6">
            <v>0</v>
          </cell>
        </row>
        <row r="7">
          <cell r="H7">
            <v>0</v>
          </cell>
          <cell r="L7">
            <v>0</v>
          </cell>
          <cell r="P7">
            <v>0</v>
          </cell>
          <cell r="T7">
            <v>0</v>
          </cell>
          <cell r="V7">
            <v>8551.7999999999993</v>
          </cell>
          <cell r="W7">
            <v>8551.7999999999993</v>
          </cell>
          <cell r="X7">
            <v>0</v>
          </cell>
          <cell r="AD7">
            <v>485.87</v>
          </cell>
          <cell r="AE7">
            <v>485</v>
          </cell>
          <cell r="AF7">
            <v>0</v>
          </cell>
        </row>
        <row r="8">
          <cell r="H8">
            <v>0</v>
          </cell>
          <cell r="L8">
            <v>0</v>
          </cell>
          <cell r="P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H9">
            <v>0</v>
          </cell>
          <cell r="L9">
            <v>0</v>
          </cell>
          <cell r="P9">
            <v>56.2</v>
          </cell>
          <cell r="T9">
            <v>0</v>
          </cell>
          <cell r="V9">
            <v>6308.8200000000006</v>
          </cell>
          <cell r="W9">
            <v>6252.6200000000008</v>
          </cell>
          <cell r="X9">
            <v>56.2</v>
          </cell>
          <cell r="AD9">
            <v>853</v>
          </cell>
          <cell r="AE9">
            <v>853</v>
          </cell>
          <cell r="AF9">
            <v>0</v>
          </cell>
        </row>
        <row r="10">
          <cell r="H10">
            <v>38</v>
          </cell>
          <cell r="L10">
            <v>0</v>
          </cell>
          <cell r="P10">
            <v>0</v>
          </cell>
          <cell r="T10">
            <v>0</v>
          </cell>
          <cell r="V10">
            <v>2060</v>
          </cell>
          <cell r="W10">
            <v>2022</v>
          </cell>
          <cell r="X10">
            <v>38</v>
          </cell>
          <cell r="AD10">
            <v>0</v>
          </cell>
          <cell r="AE10">
            <v>0</v>
          </cell>
          <cell r="AF10">
            <v>0</v>
          </cell>
        </row>
        <row r="11">
          <cell r="H11">
            <v>0</v>
          </cell>
          <cell r="L11">
            <v>303</v>
          </cell>
          <cell r="P11">
            <v>0</v>
          </cell>
          <cell r="T11">
            <v>0</v>
          </cell>
          <cell r="V11">
            <v>15682</v>
          </cell>
          <cell r="W11">
            <v>15379</v>
          </cell>
          <cell r="X11">
            <v>303</v>
          </cell>
        </row>
        <row r="12">
          <cell r="H12">
            <v>0</v>
          </cell>
          <cell r="L12">
            <v>0</v>
          </cell>
          <cell r="P12">
            <v>0</v>
          </cell>
          <cell r="T12">
            <v>0</v>
          </cell>
          <cell r="V12">
            <v>2626.52</v>
          </cell>
          <cell r="W12">
            <v>2626.52</v>
          </cell>
          <cell r="X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H13">
            <v>0</v>
          </cell>
          <cell r="L13">
            <v>0</v>
          </cell>
          <cell r="P13">
            <v>0</v>
          </cell>
          <cell r="T13">
            <v>0</v>
          </cell>
          <cell r="V13">
            <v>392.1</v>
          </cell>
          <cell r="W13">
            <v>392.1</v>
          </cell>
          <cell r="X13">
            <v>0</v>
          </cell>
        </row>
        <row r="14">
          <cell r="H14">
            <v>0</v>
          </cell>
          <cell r="L14">
            <v>0</v>
          </cell>
          <cell r="P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H15">
            <v>0</v>
          </cell>
          <cell r="L15">
            <v>0</v>
          </cell>
          <cell r="P15">
            <v>0</v>
          </cell>
          <cell r="T15">
            <v>0</v>
          </cell>
          <cell r="V15">
            <v>151.32</v>
          </cell>
          <cell r="W15">
            <v>151.32</v>
          </cell>
          <cell r="X15">
            <v>0</v>
          </cell>
        </row>
        <row r="16">
          <cell r="H16">
            <v>0</v>
          </cell>
          <cell r="L16">
            <v>0</v>
          </cell>
          <cell r="P16">
            <v>0</v>
          </cell>
          <cell r="T16">
            <v>0</v>
          </cell>
          <cell r="V16">
            <v>299</v>
          </cell>
          <cell r="W16">
            <v>299</v>
          </cell>
          <cell r="X16">
            <v>0</v>
          </cell>
        </row>
        <row r="17">
          <cell r="H17">
            <v>229</v>
          </cell>
          <cell r="L17">
            <v>0</v>
          </cell>
          <cell r="P17">
            <v>0</v>
          </cell>
          <cell r="T17">
            <v>0</v>
          </cell>
          <cell r="V17">
            <v>14771.05</v>
          </cell>
          <cell r="W17">
            <v>14542.05</v>
          </cell>
          <cell r="X17">
            <v>229</v>
          </cell>
          <cell r="AD17">
            <v>0</v>
          </cell>
          <cell r="AE17">
            <v>0</v>
          </cell>
          <cell r="AF17">
            <v>0</v>
          </cell>
        </row>
        <row r="18">
          <cell r="H18">
            <v>0</v>
          </cell>
          <cell r="L18">
            <v>0</v>
          </cell>
          <cell r="P18">
            <v>0</v>
          </cell>
          <cell r="T18">
            <v>0</v>
          </cell>
          <cell r="V18">
            <v>680.78</v>
          </cell>
          <cell r="W18">
            <v>680.78</v>
          </cell>
          <cell r="X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H19">
            <v>0</v>
          </cell>
          <cell r="L19">
            <v>0</v>
          </cell>
          <cell r="P19">
            <v>0</v>
          </cell>
          <cell r="T19">
            <v>0</v>
          </cell>
          <cell r="V19">
            <v>257</v>
          </cell>
          <cell r="W19">
            <v>257</v>
          </cell>
          <cell r="X19">
            <v>0</v>
          </cell>
        </row>
        <row r="20">
          <cell r="H20">
            <v>0</v>
          </cell>
          <cell r="L20">
            <v>0</v>
          </cell>
          <cell r="P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H21">
            <v>0</v>
          </cell>
          <cell r="L21">
            <v>2026</v>
          </cell>
          <cell r="P21">
            <v>917.51</v>
          </cell>
          <cell r="T21">
            <v>0</v>
          </cell>
          <cell r="V21">
            <v>2944.23</v>
          </cell>
          <cell r="W21">
            <v>0.72000000000002728</v>
          </cell>
          <cell r="X21">
            <v>2943.51</v>
          </cell>
          <cell r="AD21">
            <v>0</v>
          </cell>
          <cell r="AE21">
            <v>0</v>
          </cell>
          <cell r="AF21">
            <v>0</v>
          </cell>
        </row>
        <row r="22">
          <cell r="H22">
            <v>0</v>
          </cell>
          <cell r="L22">
            <v>0</v>
          </cell>
          <cell r="P22">
            <v>0</v>
          </cell>
          <cell r="T22">
            <v>0</v>
          </cell>
          <cell r="V22">
            <v>2494.91</v>
          </cell>
          <cell r="W22">
            <v>2494.91</v>
          </cell>
          <cell r="X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  <cell r="V23">
            <v>8905.52</v>
          </cell>
          <cell r="W23">
            <v>8905.52</v>
          </cell>
          <cell r="X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  <cell r="V24">
            <v>394.83</v>
          </cell>
          <cell r="W24">
            <v>394.83</v>
          </cell>
          <cell r="X24">
            <v>0</v>
          </cell>
        </row>
        <row r="25">
          <cell r="H25">
            <v>389.47</v>
          </cell>
          <cell r="L25">
            <v>0</v>
          </cell>
          <cell r="P25">
            <v>0</v>
          </cell>
          <cell r="T25">
            <v>0</v>
          </cell>
          <cell r="V25">
            <v>13478.45</v>
          </cell>
          <cell r="W25">
            <v>13088.980000000001</v>
          </cell>
          <cell r="X25">
            <v>389.47</v>
          </cell>
          <cell r="AD25">
            <v>189.26</v>
          </cell>
          <cell r="AE25">
            <v>189</v>
          </cell>
          <cell r="AF25">
            <v>0</v>
          </cell>
        </row>
        <row r="26">
          <cell r="H26">
            <v>221.1</v>
          </cell>
          <cell r="L26">
            <v>0</v>
          </cell>
          <cell r="P26">
            <v>0</v>
          </cell>
          <cell r="T26">
            <v>0</v>
          </cell>
          <cell r="V26">
            <v>19111.18</v>
          </cell>
          <cell r="W26">
            <v>18890.080000000002</v>
          </cell>
          <cell r="X26">
            <v>221.1</v>
          </cell>
          <cell r="AD26">
            <v>0</v>
          </cell>
          <cell r="AE26">
            <v>0</v>
          </cell>
          <cell r="AF26">
            <v>0</v>
          </cell>
        </row>
        <row r="27">
          <cell r="H27">
            <v>49</v>
          </cell>
          <cell r="L27">
            <v>0</v>
          </cell>
          <cell r="P27">
            <v>0</v>
          </cell>
          <cell r="T27">
            <v>1</v>
          </cell>
          <cell r="V27">
            <v>5042</v>
          </cell>
          <cell r="W27">
            <v>4992</v>
          </cell>
          <cell r="X27">
            <v>50</v>
          </cell>
          <cell r="AD27">
            <v>112.8</v>
          </cell>
          <cell r="AE27">
            <v>111</v>
          </cell>
          <cell r="AF27">
            <v>1.1200000000000001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  <cell r="V28">
            <v>28421</v>
          </cell>
          <cell r="W28">
            <v>28421</v>
          </cell>
          <cell r="X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  <cell r="V29">
            <v>393.19</v>
          </cell>
          <cell r="W29">
            <v>393.19</v>
          </cell>
          <cell r="X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H30">
            <v>90</v>
          </cell>
          <cell r="L30">
            <v>0</v>
          </cell>
          <cell r="P30">
            <v>0</v>
          </cell>
          <cell r="T30">
            <v>0</v>
          </cell>
          <cell r="V30">
            <v>50361</v>
          </cell>
          <cell r="W30">
            <v>50271</v>
          </cell>
          <cell r="X30">
            <v>90</v>
          </cell>
          <cell r="AD30">
            <v>0</v>
          </cell>
          <cell r="AE30">
            <v>0</v>
          </cell>
          <cell r="AF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  <cell r="V31">
            <v>50</v>
          </cell>
          <cell r="W31">
            <v>50</v>
          </cell>
          <cell r="X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H32">
            <v>8.56</v>
          </cell>
          <cell r="L32">
            <v>0</v>
          </cell>
          <cell r="P32">
            <v>0</v>
          </cell>
          <cell r="T32">
            <v>0</v>
          </cell>
          <cell r="V32">
            <v>8839.85</v>
          </cell>
          <cell r="W32">
            <v>8831.2899999999991</v>
          </cell>
          <cell r="X32">
            <v>8.56</v>
          </cell>
          <cell r="AD32">
            <v>161.18</v>
          </cell>
          <cell r="AE32">
            <v>161</v>
          </cell>
          <cell r="AF32">
            <v>0</v>
          </cell>
        </row>
        <row r="33">
          <cell r="H33">
            <v>0</v>
          </cell>
          <cell r="L33">
            <v>85</v>
          </cell>
          <cell r="P33">
            <v>0</v>
          </cell>
          <cell r="T33">
            <v>0</v>
          </cell>
          <cell r="V33">
            <v>10607</v>
          </cell>
          <cell r="W33">
            <v>10522</v>
          </cell>
          <cell r="X33">
            <v>85</v>
          </cell>
          <cell r="AD33">
            <v>0</v>
          </cell>
          <cell r="AE33">
            <v>0</v>
          </cell>
          <cell r="AF33">
            <v>0</v>
          </cell>
        </row>
        <row r="34">
          <cell r="H34">
            <v>0</v>
          </cell>
          <cell r="L34">
            <v>0</v>
          </cell>
          <cell r="P34">
            <v>40</v>
          </cell>
          <cell r="T34">
            <v>0</v>
          </cell>
          <cell r="V34">
            <v>40</v>
          </cell>
          <cell r="W34">
            <v>0</v>
          </cell>
          <cell r="X34">
            <v>40</v>
          </cell>
        </row>
        <row r="35">
          <cell r="H35">
            <v>0</v>
          </cell>
          <cell r="L35">
            <v>255</v>
          </cell>
          <cell r="P35">
            <v>0</v>
          </cell>
          <cell r="T35">
            <v>0</v>
          </cell>
          <cell r="V35">
            <v>15128</v>
          </cell>
          <cell r="W35">
            <v>14873</v>
          </cell>
          <cell r="X35">
            <v>255</v>
          </cell>
          <cell r="AD35">
            <v>0</v>
          </cell>
          <cell r="AE35">
            <v>0</v>
          </cell>
          <cell r="AF35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  <cell r="V36">
            <v>851.2700000000001</v>
          </cell>
          <cell r="W36">
            <v>851.2700000000001</v>
          </cell>
          <cell r="X36">
            <v>0</v>
          </cell>
        </row>
        <row r="37">
          <cell r="H37">
            <v>0</v>
          </cell>
          <cell r="L37">
            <v>0</v>
          </cell>
          <cell r="P37">
            <v>0</v>
          </cell>
          <cell r="T37">
            <v>0</v>
          </cell>
          <cell r="V37">
            <v>450</v>
          </cell>
          <cell r="W37">
            <v>450</v>
          </cell>
          <cell r="X37">
            <v>0</v>
          </cell>
        </row>
        <row r="38">
          <cell r="H38">
            <v>0</v>
          </cell>
          <cell r="L38">
            <v>0</v>
          </cell>
          <cell r="P38">
            <v>0</v>
          </cell>
          <cell r="T38">
            <v>0</v>
          </cell>
          <cell r="V38">
            <v>1573.95</v>
          </cell>
          <cell r="W38">
            <v>1573.77</v>
          </cell>
          <cell r="X38">
            <v>0</v>
          </cell>
          <cell r="AD38">
            <v>1198.3800000000001</v>
          </cell>
          <cell r="AE38">
            <v>1198</v>
          </cell>
          <cell r="AF38">
            <v>0</v>
          </cell>
        </row>
        <row r="39">
          <cell r="H39">
            <v>0</v>
          </cell>
          <cell r="L39">
            <v>0</v>
          </cell>
          <cell r="P39">
            <v>1294.1099999999999</v>
          </cell>
          <cell r="T39">
            <v>0</v>
          </cell>
          <cell r="V39">
            <v>1294.1099999999999</v>
          </cell>
          <cell r="W39">
            <v>0</v>
          </cell>
          <cell r="X39">
            <v>1294.1099999999999</v>
          </cell>
        </row>
        <row r="40">
          <cell r="H40">
            <v>0</v>
          </cell>
          <cell r="L40">
            <v>0</v>
          </cell>
          <cell r="P40">
            <v>0</v>
          </cell>
          <cell r="T40">
            <v>0</v>
          </cell>
          <cell r="V40">
            <v>9536</v>
          </cell>
          <cell r="W40">
            <v>9536</v>
          </cell>
          <cell r="X40">
            <v>0</v>
          </cell>
          <cell r="AD40">
            <v>0</v>
          </cell>
          <cell r="AE40">
            <v>0</v>
          </cell>
          <cell r="AF40">
            <v>0</v>
          </cell>
        </row>
        <row r="41">
          <cell r="H41">
            <v>0</v>
          </cell>
          <cell r="L41">
            <v>23.36</v>
          </cell>
          <cell r="P41">
            <v>0</v>
          </cell>
          <cell r="T41">
            <v>0</v>
          </cell>
          <cell r="V41">
            <v>6906.29</v>
          </cell>
          <cell r="W41">
            <v>6882.93</v>
          </cell>
          <cell r="X41">
            <v>23.36</v>
          </cell>
          <cell r="AD41">
            <v>0</v>
          </cell>
          <cell r="AE41">
            <v>0</v>
          </cell>
          <cell r="AF41">
            <v>0</v>
          </cell>
        </row>
        <row r="42">
          <cell r="H42">
            <v>0</v>
          </cell>
          <cell r="L42">
            <v>0</v>
          </cell>
          <cell r="P42">
            <v>0</v>
          </cell>
          <cell r="T42">
            <v>0</v>
          </cell>
          <cell r="V42">
            <v>135</v>
          </cell>
          <cell r="W42">
            <v>135</v>
          </cell>
          <cell r="X42">
            <v>0</v>
          </cell>
          <cell r="AD42">
            <v>56</v>
          </cell>
          <cell r="AE42">
            <v>56</v>
          </cell>
          <cell r="AF42">
            <v>0</v>
          </cell>
        </row>
        <row r="43">
          <cell r="H43">
            <v>0</v>
          </cell>
          <cell r="L43">
            <v>0</v>
          </cell>
          <cell r="P43">
            <v>735.48</v>
          </cell>
          <cell r="T43">
            <v>0</v>
          </cell>
          <cell r="V43">
            <v>735.48</v>
          </cell>
          <cell r="W43">
            <v>0</v>
          </cell>
          <cell r="X43">
            <v>735.48</v>
          </cell>
          <cell r="AD43">
            <v>0</v>
          </cell>
          <cell r="AE43">
            <v>0</v>
          </cell>
          <cell r="AF43">
            <v>0</v>
          </cell>
        </row>
        <row r="44">
          <cell r="H44">
            <v>6.2</v>
          </cell>
          <cell r="L44">
            <v>0</v>
          </cell>
          <cell r="P44">
            <v>0</v>
          </cell>
          <cell r="T44">
            <v>0</v>
          </cell>
          <cell r="V44">
            <v>7761.7099999999991</v>
          </cell>
          <cell r="W44">
            <v>7755.51</v>
          </cell>
          <cell r="X44">
            <v>6.2</v>
          </cell>
          <cell r="AD44">
            <v>742.7</v>
          </cell>
          <cell r="AE44">
            <v>742</v>
          </cell>
          <cell r="AF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  <cell r="V45">
            <v>1153.98</v>
          </cell>
          <cell r="W45">
            <v>1153.98</v>
          </cell>
          <cell r="X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H46">
            <v>0</v>
          </cell>
          <cell r="L46">
            <v>0</v>
          </cell>
          <cell r="P46">
            <v>0</v>
          </cell>
          <cell r="T46">
            <v>0</v>
          </cell>
          <cell r="V46">
            <v>4198</v>
          </cell>
          <cell r="W46">
            <v>4198</v>
          </cell>
          <cell r="X46">
            <v>0</v>
          </cell>
        </row>
        <row r="47">
          <cell r="H47">
            <v>0</v>
          </cell>
          <cell r="L47">
            <v>0</v>
          </cell>
          <cell r="P47">
            <v>0</v>
          </cell>
          <cell r="T47">
            <v>0</v>
          </cell>
          <cell r="V47">
            <v>3889.82</v>
          </cell>
          <cell r="W47">
            <v>3889.82</v>
          </cell>
          <cell r="X47">
            <v>0</v>
          </cell>
        </row>
        <row r="48">
          <cell r="H48">
            <v>0</v>
          </cell>
          <cell r="L48">
            <v>0</v>
          </cell>
          <cell r="P48">
            <v>0</v>
          </cell>
          <cell r="T48">
            <v>0</v>
          </cell>
          <cell r="V48">
            <v>12958</v>
          </cell>
          <cell r="W48">
            <v>12958</v>
          </cell>
          <cell r="X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H49">
            <v>0</v>
          </cell>
          <cell r="L49">
            <v>0</v>
          </cell>
          <cell r="P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H50">
            <v>0</v>
          </cell>
          <cell r="L50">
            <v>0</v>
          </cell>
          <cell r="P50">
            <v>635.53</v>
          </cell>
          <cell r="T50">
            <v>0</v>
          </cell>
          <cell r="V50">
            <v>635.53</v>
          </cell>
          <cell r="W50">
            <v>0</v>
          </cell>
          <cell r="X50">
            <v>635.53</v>
          </cell>
          <cell r="AD50">
            <v>0</v>
          </cell>
          <cell r="AE50">
            <v>0</v>
          </cell>
          <cell r="AF50">
            <v>0</v>
          </cell>
        </row>
        <row r="51">
          <cell r="H51">
            <v>0</v>
          </cell>
          <cell r="L51">
            <v>52</v>
          </cell>
          <cell r="P51">
            <v>7.76</v>
          </cell>
          <cell r="T51">
            <v>0</v>
          </cell>
          <cell r="V51">
            <v>2986.8</v>
          </cell>
          <cell r="W51">
            <v>2927.04</v>
          </cell>
          <cell r="X51">
            <v>59.76</v>
          </cell>
          <cell r="AD51">
            <v>0</v>
          </cell>
          <cell r="AE51">
            <v>0</v>
          </cell>
          <cell r="AF51">
            <v>0</v>
          </cell>
        </row>
        <row r="52">
          <cell r="H52">
            <v>0</v>
          </cell>
          <cell r="L52">
            <v>0</v>
          </cell>
          <cell r="P52">
            <v>0</v>
          </cell>
          <cell r="T52">
            <v>0</v>
          </cell>
          <cell r="V52">
            <v>560</v>
          </cell>
          <cell r="W52">
            <v>560</v>
          </cell>
          <cell r="X52">
            <v>0</v>
          </cell>
          <cell r="AD52">
            <v>600</v>
          </cell>
          <cell r="AE52">
            <v>0</v>
          </cell>
          <cell r="AF52">
            <v>600</v>
          </cell>
        </row>
        <row r="53">
          <cell r="H53">
            <v>0</v>
          </cell>
          <cell r="L53">
            <v>0</v>
          </cell>
          <cell r="P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H54">
            <v>58.5</v>
          </cell>
          <cell r="L54">
            <v>0</v>
          </cell>
          <cell r="P54">
            <v>20</v>
          </cell>
          <cell r="T54">
            <v>0</v>
          </cell>
          <cell r="V54">
            <v>2250.5</v>
          </cell>
          <cell r="W54">
            <v>2172</v>
          </cell>
          <cell r="X54">
            <v>78.5</v>
          </cell>
          <cell r="AD54">
            <v>209.88</v>
          </cell>
          <cell r="AE54">
            <v>209</v>
          </cell>
          <cell r="AF54">
            <v>0</v>
          </cell>
        </row>
        <row r="55">
          <cell r="H55">
            <v>0</v>
          </cell>
          <cell r="L55">
            <v>0.95</v>
          </cell>
          <cell r="P55">
            <v>405.53</v>
          </cell>
          <cell r="T55">
            <v>0</v>
          </cell>
          <cell r="V55">
            <v>607.13</v>
          </cell>
          <cell r="W55">
            <v>200.65</v>
          </cell>
          <cell r="X55">
            <v>406.47999999999996</v>
          </cell>
          <cell r="AD55">
            <v>5</v>
          </cell>
          <cell r="AE55">
            <v>5</v>
          </cell>
          <cell r="AF55">
            <v>0.5</v>
          </cell>
        </row>
        <row r="56">
          <cell r="H56">
            <v>0</v>
          </cell>
          <cell r="L56">
            <v>0</v>
          </cell>
          <cell r="P56">
            <v>0</v>
          </cell>
          <cell r="T56">
            <v>0</v>
          </cell>
          <cell r="V56">
            <v>6562</v>
          </cell>
          <cell r="W56">
            <v>6562</v>
          </cell>
          <cell r="X56">
            <v>0</v>
          </cell>
          <cell r="AD56">
            <v>47</v>
          </cell>
          <cell r="AE56">
            <v>47</v>
          </cell>
          <cell r="AF56">
            <v>0</v>
          </cell>
        </row>
        <row r="57">
          <cell r="H57">
            <v>0</v>
          </cell>
          <cell r="L57">
            <v>0</v>
          </cell>
          <cell r="P57">
            <v>0</v>
          </cell>
          <cell r="T57">
            <v>0</v>
          </cell>
          <cell r="V57">
            <v>3556</v>
          </cell>
          <cell r="W57">
            <v>3556</v>
          </cell>
          <cell r="X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H58">
            <v>0</v>
          </cell>
          <cell r="L58">
            <v>0</v>
          </cell>
          <cell r="P58">
            <v>0</v>
          </cell>
          <cell r="T58">
            <v>0</v>
          </cell>
          <cell r="V58">
            <v>4803.8999999999996</v>
          </cell>
          <cell r="W58">
            <v>4803.8999999999996</v>
          </cell>
          <cell r="X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H59">
            <v>0</v>
          </cell>
          <cell r="L59">
            <v>0</v>
          </cell>
          <cell r="P59">
            <v>0</v>
          </cell>
          <cell r="T59">
            <v>0</v>
          </cell>
          <cell r="V59">
            <v>18647</v>
          </cell>
          <cell r="W59">
            <v>18647</v>
          </cell>
          <cell r="X59">
            <v>0</v>
          </cell>
          <cell r="AD59">
            <v>525</v>
          </cell>
          <cell r="AE59">
            <v>525</v>
          </cell>
          <cell r="AF59">
            <v>0</v>
          </cell>
        </row>
        <row r="60">
          <cell r="H60">
            <v>0</v>
          </cell>
          <cell r="L60">
            <v>0</v>
          </cell>
          <cell r="P60">
            <v>0</v>
          </cell>
          <cell r="T60">
            <v>0</v>
          </cell>
          <cell r="V60">
            <v>1518</v>
          </cell>
          <cell r="W60">
            <v>1518</v>
          </cell>
          <cell r="X60">
            <v>0</v>
          </cell>
        </row>
        <row r="61">
          <cell r="H61">
            <v>0</v>
          </cell>
          <cell r="L61">
            <v>0</v>
          </cell>
          <cell r="P61">
            <v>0</v>
          </cell>
          <cell r="T61">
            <v>0</v>
          </cell>
          <cell r="V61">
            <v>7398</v>
          </cell>
          <cell r="W61">
            <v>7398</v>
          </cell>
          <cell r="X61">
            <v>0</v>
          </cell>
          <cell r="AD61">
            <v>372.66</v>
          </cell>
          <cell r="AE61">
            <v>372</v>
          </cell>
          <cell r="AF61">
            <v>0</v>
          </cell>
        </row>
        <row r="62">
          <cell r="H62">
            <v>0</v>
          </cell>
          <cell r="L62">
            <v>0</v>
          </cell>
          <cell r="P62">
            <v>0</v>
          </cell>
          <cell r="T62">
            <v>0</v>
          </cell>
          <cell r="V62">
            <v>912.44</v>
          </cell>
          <cell r="W62">
            <v>912.44</v>
          </cell>
          <cell r="X62">
            <v>0</v>
          </cell>
          <cell r="AD62">
            <v>286</v>
          </cell>
          <cell r="AE62">
            <v>286</v>
          </cell>
          <cell r="AF62">
            <v>0</v>
          </cell>
        </row>
        <row r="63">
          <cell r="H63">
            <v>0</v>
          </cell>
          <cell r="L63">
            <v>0</v>
          </cell>
          <cell r="P63">
            <v>0</v>
          </cell>
          <cell r="T63">
            <v>0</v>
          </cell>
          <cell r="V63">
            <v>760.4</v>
          </cell>
          <cell r="W63">
            <v>760.4</v>
          </cell>
          <cell r="X63">
            <v>0</v>
          </cell>
          <cell r="AD63">
            <v>351</v>
          </cell>
          <cell r="AE63">
            <v>351</v>
          </cell>
          <cell r="AF63">
            <v>0</v>
          </cell>
        </row>
        <row r="64">
          <cell r="H64">
            <v>0</v>
          </cell>
          <cell r="L64">
            <v>0</v>
          </cell>
          <cell r="P64">
            <v>5</v>
          </cell>
          <cell r="T64">
            <v>0</v>
          </cell>
          <cell r="V64">
            <v>4737</v>
          </cell>
          <cell r="W64">
            <v>4732</v>
          </cell>
          <cell r="X64">
            <v>5</v>
          </cell>
          <cell r="AD64">
            <v>325.94</v>
          </cell>
          <cell r="AE64">
            <v>325</v>
          </cell>
          <cell r="AF64">
            <v>0</v>
          </cell>
        </row>
        <row r="65">
          <cell r="H65">
            <v>0</v>
          </cell>
          <cell r="L65">
            <v>22.59</v>
          </cell>
          <cell r="P65">
            <v>0</v>
          </cell>
          <cell r="T65">
            <v>0</v>
          </cell>
          <cell r="V65">
            <v>6268.9699999999993</v>
          </cell>
          <cell r="W65">
            <v>6246.3799999999992</v>
          </cell>
          <cell r="X65">
            <v>22.59</v>
          </cell>
          <cell r="AD65">
            <v>0</v>
          </cell>
          <cell r="AE65">
            <v>0</v>
          </cell>
          <cell r="AF65">
            <v>0</v>
          </cell>
        </row>
        <row r="66">
          <cell r="H66">
            <v>0</v>
          </cell>
          <cell r="L66">
            <v>0</v>
          </cell>
          <cell r="P66">
            <v>0</v>
          </cell>
          <cell r="T66">
            <v>0</v>
          </cell>
          <cell r="V66">
            <v>20878.259999999998</v>
          </cell>
          <cell r="W66">
            <v>20878.259999999998</v>
          </cell>
          <cell r="X66">
            <v>0</v>
          </cell>
          <cell r="AD66">
            <v>2943.84</v>
          </cell>
          <cell r="AE66">
            <v>2943</v>
          </cell>
          <cell r="AF66">
            <v>0</v>
          </cell>
        </row>
        <row r="67">
          <cell r="H67">
            <v>0</v>
          </cell>
          <cell r="L67">
            <v>0</v>
          </cell>
          <cell r="P67">
            <v>0</v>
          </cell>
          <cell r="T67">
            <v>0</v>
          </cell>
          <cell r="V67">
            <v>253.46</v>
          </cell>
          <cell r="W67">
            <v>253.46</v>
          </cell>
          <cell r="X67">
            <v>0</v>
          </cell>
        </row>
        <row r="68">
          <cell r="H68">
            <v>0</v>
          </cell>
          <cell r="L68">
            <v>0</v>
          </cell>
          <cell r="P68">
            <v>1510</v>
          </cell>
          <cell r="T68">
            <v>0</v>
          </cell>
          <cell r="V68">
            <v>2631</v>
          </cell>
          <cell r="W68">
            <v>1121</v>
          </cell>
          <cell r="X68">
            <v>1510</v>
          </cell>
          <cell r="AD68">
            <v>0</v>
          </cell>
          <cell r="AE68">
            <v>0</v>
          </cell>
          <cell r="AF68">
            <v>0</v>
          </cell>
        </row>
        <row r="69">
          <cell r="H69">
            <v>0</v>
          </cell>
          <cell r="L69">
            <v>775</v>
          </cell>
          <cell r="P69">
            <v>0</v>
          </cell>
          <cell r="T69">
            <v>0</v>
          </cell>
          <cell r="V69">
            <v>42295.6</v>
          </cell>
          <cell r="W69">
            <v>41520.6</v>
          </cell>
          <cell r="X69">
            <v>775</v>
          </cell>
          <cell r="AD69">
            <v>684</v>
          </cell>
          <cell r="AE69">
            <v>684</v>
          </cell>
          <cell r="AF69">
            <v>0</v>
          </cell>
        </row>
        <row r="70">
          <cell r="H70">
            <v>0</v>
          </cell>
          <cell r="L70">
            <v>0</v>
          </cell>
          <cell r="P70">
            <v>0</v>
          </cell>
          <cell r="T70">
            <v>0</v>
          </cell>
          <cell r="V70">
            <v>3293</v>
          </cell>
          <cell r="W70">
            <v>3293</v>
          </cell>
          <cell r="X70">
            <v>0</v>
          </cell>
        </row>
        <row r="71">
          <cell r="H71">
            <v>0</v>
          </cell>
          <cell r="L71">
            <v>0</v>
          </cell>
          <cell r="P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AD71">
            <v>183.22</v>
          </cell>
          <cell r="AE71">
            <v>183</v>
          </cell>
          <cell r="AF71">
            <v>0</v>
          </cell>
        </row>
        <row r="72">
          <cell r="H72">
            <v>0</v>
          </cell>
          <cell r="L72">
            <v>0</v>
          </cell>
          <cell r="P72">
            <v>0</v>
          </cell>
          <cell r="T72">
            <v>0</v>
          </cell>
          <cell r="V72">
            <v>7235</v>
          </cell>
          <cell r="W72">
            <v>7235</v>
          </cell>
          <cell r="X72">
            <v>0</v>
          </cell>
          <cell r="AD72">
            <v>124</v>
          </cell>
          <cell r="AE72">
            <v>124</v>
          </cell>
          <cell r="AF72">
            <v>0</v>
          </cell>
        </row>
        <row r="73">
          <cell r="H73">
            <v>0</v>
          </cell>
          <cell r="L73">
            <v>0</v>
          </cell>
          <cell r="P73">
            <v>0</v>
          </cell>
          <cell r="T73">
            <v>0</v>
          </cell>
          <cell r="V73">
            <v>21.44</v>
          </cell>
          <cell r="W73">
            <v>21.44</v>
          </cell>
          <cell r="X73">
            <v>0</v>
          </cell>
        </row>
        <row r="74">
          <cell r="H74">
            <v>592.05999999999995</v>
          </cell>
          <cell r="L74">
            <v>0</v>
          </cell>
          <cell r="P74">
            <v>0</v>
          </cell>
          <cell r="T74">
            <v>0</v>
          </cell>
          <cell r="V74">
            <v>19735.2</v>
          </cell>
          <cell r="W74">
            <v>19143.14</v>
          </cell>
          <cell r="X74">
            <v>592.05999999999995</v>
          </cell>
          <cell r="AD74">
            <v>0</v>
          </cell>
          <cell r="AE74">
            <v>0</v>
          </cell>
          <cell r="AF74">
            <v>0</v>
          </cell>
        </row>
        <row r="75">
          <cell r="H75">
            <v>0</v>
          </cell>
          <cell r="L75">
            <v>0</v>
          </cell>
          <cell r="P75">
            <v>0</v>
          </cell>
          <cell r="T75">
            <v>20</v>
          </cell>
          <cell r="V75">
            <v>20</v>
          </cell>
          <cell r="W75">
            <v>0</v>
          </cell>
          <cell r="X75">
            <v>20</v>
          </cell>
          <cell r="AD75">
            <v>0</v>
          </cell>
          <cell r="AE75">
            <v>0</v>
          </cell>
          <cell r="AF75">
            <v>0</v>
          </cell>
        </row>
        <row r="76">
          <cell r="H76">
            <v>0</v>
          </cell>
          <cell r="L76">
            <v>0</v>
          </cell>
          <cell r="P76">
            <v>0</v>
          </cell>
          <cell r="T76">
            <v>0</v>
          </cell>
          <cell r="V76">
            <v>833.06</v>
          </cell>
          <cell r="W76">
            <v>833.06</v>
          </cell>
          <cell r="X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H77">
            <v>14.85</v>
          </cell>
          <cell r="L77">
            <v>0</v>
          </cell>
          <cell r="P77">
            <v>0</v>
          </cell>
          <cell r="T77">
            <v>0</v>
          </cell>
          <cell r="V77">
            <v>12171</v>
          </cell>
          <cell r="W77">
            <v>12156.15</v>
          </cell>
          <cell r="X77">
            <v>14.85</v>
          </cell>
          <cell r="AD77">
            <v>202</v>
          </cell>
          <cell r="AE77">
            <v>202</v>
          </cell>
          <cell r="AF77">
            <v>0</v>
          </cell>
        </row>
        <row r="78">
          <cell r="H78">
            <v>0</v>
          </cell>
          <cell r="L78">
            <v>0</v>
          </cell>
          <cell r="P78">
            <v>0</v>
          </cell>
          <cell r="T78">
            <v>0</v>
          </cell>
          <cell r="V78">
            <v>14319.7</v>
          </cell>
          <cell r="W78">
            <v>14319.7</v>
          </cell>
          <cell r="X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H79">
            <v>0</v>
          </cell>
          <cell r="L79">
            <v>0</v>
          </cell>
          <cell r="P79">
            <v>0</v>
          </cell>
          <cell r="T79">
            <v>0</v>
          </cell>
          <cell r="V79">
            <v>4066.74</v>
          </cell>
          <cell r="W79">
            <v>4066.74</v>
          </cell>
          <cell r="X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L80">
            <v>134.63999999999999</v>
          </cell>
          <cell r="P80">
            <v>0</v>
          </cell>
          <cell r="T80">
            <v>0</v>
          </cell>
          <cell r="V80">
            <v>2045.94</v>
          </cell>
          <cell r="W80">
            <v>1911.3000000000002</v>
          </cell>
          <cell r="X80">
            <v>134.63999999999999</v>
          </cell>
          <cell r="AD80">
            <v>305.5</v>
          </cell>
          <cell r="AE80">
            <v>305</v>
          </cell>
          <cell r="AF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  <cell r="V81">
            <v>1618</v>
          </cell>
          <cell r="W81">
            <v>1618</v>
          </cell>
          <cell r="X81">
            <v>0</v>
          </cell>
          <cell r="AD81">
            <v>509.44</v>
          </cell>
          <cell r="AE81">
            <v>509</v>
          </cell>
          <cell r="AF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  <cell r="V82">
            <v>788.61</v>
          </cell>
          <cell r="W82">
            <v>788.61</v>
          </cell>
          <cell r="X82">
            <v>0</v>
          </cell>
        </row>
        <row r="83">
          <cell r="H83">
            <v>0</v>
          </cell>
          <cell r="L83">
            <v>0</v>
          </cell>
          <cell r="P83">
            <v>250</v>
          </cell>
          <cell r="T83">
            <v>0</v>
          </cell>
          <cell r="V83">
            <v>300</v>
          </cell>
          <cell r="W83">
            <v>50</v>
          </cell>
          <cell r="X83">
            <v>250</v>
          </cell>
        </row>
        <row r="84">
          <cell r="H84">
            <v>36.299999999999997</v>
          </cell>
          <cell r="L84">
            <v>0</v>
          </cell>
          <cell r="P84">
            <v>0</v>
          </cell>
          <cell r="T84">
            <v>0</v>
          </cell>
          <cell r="V84">
            <v>2391.67</v>
          </cell>
          <cell r="W84">
            <v>2355.37</v>
          </cell>
          <cell r="X84">
            <v>36.299999999999997</v>
          </cell>
          <cell r="AD84">
            <v>107.59</v>
          </cell>
          <cell r="AE84">
            <v>107</v>
          </cell>
          <cell r="AF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  <cell r="V85">
            <v>2893</v>
          </cell>
          <cell r="W85">
            <v>2893</v>
          </cell>
          <cell r="X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  <cell r="V86">
            <v>3269.9</v>
          </cell>
          <cell r="W86">
            <v>3269.9</v>
          </cell>
          <cell r="X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  <cell r="V88">
            <v>805</v>
          </cell>
          <cell r="W88">
            <v>805</v>
          </cell>
          <cell r="X88">
            <v>0</v>
          </cell>
        </row>
        <row r="89">
          <cell r="H89">
            <v>165.67</v>
          </cell>
          <cell r="L89">
            <v>0</v>
          </cell>
          <cell r="P89">
            <v>0</v>
          </cell>
          <cell r="T89">
            <v>0</v>
          </cell>
          <cell r="V89">
            <v>16567.34</v>
          </cell>
          <cell r="W89">
            <v>16401.670000000002</v>
          </cell>
          <cell r="X89">
            <v>165.67</v>
          </cell>
          <cell r="AD89">
            <v>367.97</v>
          </cell>
          <cell r="AE89">
            <v>367</v>
          </cell>
          <cell r="AF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  <cell r="V90">
            <v>1918</v>
          </cell>
          <cell r="W90">
            <v>1918</v>
          </cell>
          <cell r="X90">
            <v>0</v>
          </cell>
          <cell r="AD90">
            <v>181</v>
          </cell>
          <cell r="AE90">
            <v>181</v>
          </cell>
          <cell r="AF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  <cell r="V91">
            <v>29505.7</v>
          </cell>
          <cell r="W91">
            <v>29505.7</v>
          </cell>
          <cell r="X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H92">
            <v>0</v>
          </cell>
          <cell r="L92">
            <v>0</v>
          </cell>
          <cell r="P92">
            <v>0</v>
          </cell>
          <cell r="T92">
            <v>0</v>
          </cell>
          <cell r="V92">
            <v>152</v>
          </cell>
          <cell r="W92">
            <v>152</v>
          </cell>
          <cell r="X92">
            <v>0</v>
          </cell>
          <cell r="AD92">
            <v>46</v>
          </cell>
          <cell r="AE92">
            <v>46</v>
          </cell>
          <cell r="AF92">
            <v>0</v>
          </cell>
        </row>
        <row r="93">
          <cell r="H93">
            <v>0</v>
          </cell>
          <cell r="L93">
            <v>40.4</v>
          </cell>
          <cell r="P93">
            <v>0</v>
          </cell>
          <cell r="T93">
            <v>0</v>
          </cell>
          <cell r="V93">
            <v>11916.4</v>
          </cell>
          <cell r="W93">
            <v>11876</v>
          </cell>
          <cell r="X93">
            <v>40.4</v>
          </cell>
          <cell r="AD93">
            <v>25.8</v>
          </cell>
          <cell r="AE93">
            <v>0</v>
          </cell>
          <cell r="AF93">
            <v>25.8</v>
          </cell>
        </row>
        <row r="94">
          <cell r="H94">
            <v>0</v>
          </cell>
          <cell r="L94">
            <v>0</v>
          </cell>
          <cell r="P94">
            <v>0</v>
          </cell>
          <cell r="T94">
            <v>0</v>
          </cell>
          <cell r="V94">
            <v>2994.4</v>
          </cell>
          <cell r="W94">
            <v>2994.4</v>
          </cell>
          <cell r="X94">
            <v>0</v>
          </cell>
          <cell r="AD94">
            <v>1001.43</v>
          </cell>
          <cell r="AE94">
            <v>1001</v>
          </cell>
          <cell r="AF94">
            <v>0</v>
          </cell>
        </row>
        <row r="95">
          <cell r="H95">
            <v>15</v>
          </cell>
          <cell r="L95">
            <v>0</v>
          </cell>
          <cell r="P95">
            <v>0</v>
          </cell>
          <cell r="T95">
            <v>0</v>
          </cell>
          <cell r="V95">
            <v>18391</v>
          </cell>
          <cell r="W95">
            <v>18376</v>
          </cell>
          <cell r="X95">
            <v>15</v>
          </cell>
          <cell r="AD95">
            <v>1023</v>
          </cell>
          <cell r="AE95">
            <v>1023</v>
          </cell>
          <cell r="AF95">
            <v>0</v>
          </cell>
        </row>
        <row r="96">
          <cell r="H96">
            <v>0</v>
          </cell>
          <cell r="L96">
            <v>1244.53</v>
          </cell>
          <cell r="P96">
            <v>0</v>
          </cell>
          <cell r="T96">
            <v>0</v>
          </cell>
          <cell r="V96">
            <v>40240.559999999998</v>
          </cell>
          <cell r="W96">
            <v>38996.03</v>
          </cell>
          <cell r="X96">
            <v>1244.53</v>
          </cell>
          <cell r="AD96">
            <v>1242.52</v>
          </cell>
          <cell r="AE96">
            <v>1218</v>
          </cell>
          <cell r="AF96">
            <v>24.85</v>
          </cell>
        </row>
        <row r="97">
          <cell r="H97">
            <v>0</v>
          </cell>
          <cell r="L97">
            <v>60.32</v>
          </cell>
          <cell r="P97">
            <v>0</v>
          </cell>
          <cell r="T97">
            <v>0</v>
          </cell>
          <cell r="V97">
            <v>16039.65</v>
          </cell>
          <cell r="W97">
            <v>15979.33</v>
          </cell>
          <cell r="X97">
            <v>60.32</v>
          </cell>
          <cell r="AD97">
            <v>0</v>
          </cell>
          <cell r="AE97">
            <v>0</v>
          </cell>
          <cell r="AF97">
            <v>0</v>
          </cell>
        </row>
        <row r="98">
          <cell r="H98">
            <v>0</v>
          </cell>
          <cell r="L98">
            <v>0</v>
          </cell>
          <cell r="P98">
            <v>0</v>
          </cell>
          <cell r="T98">
            <v>0</v>
          </cell>
          <cell r="V98">
            <v>1857.12</v>
          </cell>
          <cell r="W98">
            <v>1857.12</v>
          </cell>
          <cell r="X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H99">
            <v>29</v>
          </cell>
          <cell r="L99">
            <v>7</v>
          </cell>
          <cell r="P99">
            <v>0</v>
          </cell>
          <cell r="T99">
            <v>0</v>
          </cell>
          <cell r="V99">
            <v>6945.82</v>
          </cell>
          <cell r="W99">
            <v>6909.82</v>
          </cell>
          <cell r="X99">
            <v>36</v>
          </cell>
        </row>
        <row r="100">
          <cell r="H100">
            <v>289</v>
          </cell>
          <cell r="L100">
            <v>65</v>
          </cell>
          <cell r="P100">
            <v>0</v>
          </cell>
          <cell r="T100">
            <v>0</v>
          </cell>
          <cell r="V100">
            <v>9403</v>
          </cell>
          <cell r="W100">
            <v>9049</v>
          </cell>
          <cell r="X100">
            <v>354</v>
          </cell>
          <cell r="AD100">
            <v>0</v>
          </cell>
          <cell r="AE100">
            <v>0</v>
          </cell>
          <cell r="AF100">
            <v>0</v>
          </cell>
        </row>
        <row r="101">
          <cell r="H101">
            <v>0</v>
          </cell>
          <cell r="L101">
            <v>260</v>
          </cell>
          <cell r="P101">
            <v>0</v>
          </cell>
          <cell r="T101">
            <v>0</v>
          </cell>
          <cell r="V101">
            <v>3766</v>
          </cell>
          <cell r="W101">
            <v>3506</v>
          </cell>
          <cell r="X101">
            <v>260</v>
          </cell>
          <cell r="AD101">
            <v>156</v>
          </cell>
          <cell r="AE101">
            <v>156</v>
          </cell>
          <cell r="AF101">
            <v>0</v>
          </cell>
        </row>
        <row r="102">
          <cell r="H102">
            <v>149.69999999999999</v>
          </cell>
          <cell r="L102">
            <v>0</v>
          </cell>
          <cell r="P102">
            <v>0</v>
          </cell>
          <cell r="T102">
            <v>0</v>
          </cell>
          <cell r="V102">
            <v>10088.44</v>
          </cell>
          <cell r="W102">
            <v>9938.74</v>
          </cell>
          <cell r="X102">
            <v>149.69999999999999</v>
          </cell>
          <cell r="AD102">
            <v>83.94</v>
          </cell>
          <cell r="AE102">
            <v>83</v>
          </cell>
          <cell r="AF102">
            <v>0</v>
          </cell>
        </row>
        <row r="103">
          <cell r="H103">
            <v>0</v>
          </cell>
          <cell r="L103">
            <v>242</v>
          </cell>
          <cell r="P103">
            <v>0</v>
          </cell>
          <cell r="T103">
            <v>0</v>
          </cell>
          <cell r="V103">
            <v>14072</v>
          </cell>
          <cell r="W103">
            <v>13830</v>
          </cell>
          <cell r="X103">
            <v>242</v>
          </cell>
          <cell r="AD103">
            <v>0</v>
          </cell>
          <cell r="AE103">
            <v>0</v>
          </cell>
          <cell r="AF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  <cell r="V104">
            <v>14899.9</v>
          </cell>
          <cell r="W104">
            <v>14899.9</v>
          </cell>
          <cell r="X104">
            <v>0</v>
          </cell>
          <cell r="AD104">
            <v>0</v>
          </cell>
          <cell r="AE104">
            <v>0</v>
          </cell>
          <cell r="AF104">
            <v>0</v>
          </cell>
        </row>
        <row r="105">
          <cell r="H105">
            <v>25.67</v>
          </cell>
          <cell r="L105">
            <v>0</v>
          </cell>
          <cell r="P105">
            <v>0</v>
          </cell>
          <cell r="T105">
            <v>0</v>
          </cell>
          <cell r="V105">
            <v>2556.19</v>
          </cell>
          <cell r="W105">
            <v>2530.52</v>
          </cell>
          <cell r="X105">
            <v>25.67</v>
          </cell>
        </row>
        <row r="106">
          <cell r="H106">
            <v>0</v>
          </cell>
          <cell r="L106">
            <v>0</v>
          </cell>
          <cell r="P106">
            <v>0</v>
          </cell>
          <cell r="T106">
            <v>0</v>
          </cell>
          <cell r="V106">
            <v>1069.6399999999999</v>
          </cell>
          <cell r="W106">
            <v>1069.6399999999999</v>
          </cell>
          <cell r="X106">
            <v>0</v>
          </cell>
        </row>
        <row r="107">
          <cell r="H107">
            <v>0</v>
          </cell>
          <cell r="L107">
            <v>0</v>
          </cell>
          <cell r="P107">
            <v>0</v>
          </cell>
          <cell r="T107">
            <v>0</v>
          </cell>
          <cell r="V107">
            <v>150</v>
          </cell>
          <cell r="W107">
            <v>150</v>
          </cell>
          <cell r="X107">
            <v>0</v>
          </cell>
          <cell r="AD107">
            <v>200</v>
          </cell>
          <cell r="AE107">
            <v>200</v>
          </cell>
          <cell r="AF107">
            <v>0</v>
          </cell>
        </row>
        <row r="108">
          <cell r="H108">
            <v>0</v>
          </cell>
          <cell r="L108">
            <v>0</v>
          </cell>
          <cell r="P108">
            <v>0</v>
          </cell>
          <cell r="T108">
            <v>0</v>
          </cell>
          <cell r="V108">
            <v>2451.2600000000002</v>
          </cell>
          <cell r="W108">
            <v>2451.2600000000002</v>
          </cell>
          <cell r="X108">
            <v>0</v>
          </cell>
          <cell r="AD108">
            <v>479.23</v>
          </cell>
          <cell r="AE108">
            <v>479</v>
          </cell>
          <cell r="AF108">
            <v>0</v>
          </cell>
        </row>
        <row r="109">
          <cell r="H109">
            <v>0</v>
          </cell>
          <cell r="L109">
            <v>0</v>
          </cell>
          <cell r="P109">
            <v>0</v>
          </cell>
          <cell r="T109">
            <v>0</v>
          </cell>
          <cell r="V109">
            <v>30978</v>
          </cell>
          <cell r="W109">
            <v>30978</v>
          </cell>
          <cell r="X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H110">
            <v>82</v>
          </cell>
          <cell r="L110">
            <v>0</v>
          </cell>
          <cell r="P110">
            <v>0</v>
          </cell>
          <cell r="T110">
            <v>0</v>
          </cell>
          <cell r="V110">
            <v>1680</v>
          </cell>
          <cell r="W110">
            <v>1598</v>
          </cell>
          <cell r="X110">
            <v>82</v>
          </cell>
          <cell r="AD110">
            <v>4551</v>
          </cell>
          <cell r="AE110">
            <v>3893</v>
          </cell>
          <cell r="AF110">
            <v>658</v>
          </cell>
        </row>
        <row r="111">
          <cell r="H111">
            <v>28.02</v>
          </cell>
          <cell r="L111">
            <v>0</v>
          </cell>
          <cell r="P111">
            <v>0</v>
          </cell>
          <cell r="T111">
            <v>0</v>
          </cell>
          <cell r="V111">
            <v>11915.3</v>
          </cell>
          <cell r="W111">
            <v>11887.279999999999</v>
          </cell>
          <cell r="X111">
            <v>28.02</v>
          </cell>
          <cell r="AD111">
            <v>0</v>
          </cell>
          <cell r="AE111">
            <v>0</v>
          </cell>
          <cell r="AF111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  <cell r="V112">
            <v>463</v>
          </cell>
          <cell r="W112">
            <v>463</v>
          </cell>
          <cell r="X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  <cell r="V113">
            <v>180</v>
          </cell>
          <cell r="W113">
            <v>180</v>
          </cell>
          <cell r="X113">
            <v>0</v>
          </cell>
          <cell r="AD113">
            <v>15</v>
          </cell>
          <cell r="AE113">
            <v>0</v>
          </cell>
          <cell r="AF113">
            <v>15</v>
          </cell>
        </row>
        <row r="114">
          <cell r="H114">
            <v>331.13</v>
          </cell>
          <cell r="L114">
            <v>0</v>
          </cell>
          <cell r="P114">
            <v>0</v>
          </cell>
          <cell r="T114">
            <v>0</v>
          </cell>
          <cell r="V114">
            <v>21561.03</v>
          </cell>
          <cell r="W114">
            <v>21229.899999999998</v>
          </cell>
          <cell r="X114">
            <v>331.13</v>
          </cell>
          <cell r="AD114">
            <v>0</v>
          </cell>
          <cell r="AE114">
            <v>0</v>
          </cell>
          <cell r="AF114">
            <v>0</v>
          </cell>
        </row>
        <row r="115">
          <cell r="H115">
            <v>0</v>
          </cell>
          <cell r="L115">
            <v>257</v>
          </cell>
          <cell r="P115">
            <v>0</v>
          </cell>
          <cell r="T115">
            <v>0</v>
          </cell>
          <cell r="V115">
            <v>14530.42</v>
          </cell>
          <cell r="W115">
            <v>14273.42</v>
          </cell>
          <cell r="X115">
            <v>257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  <cell r="V116">
            <v>3.36</v>
          </cell>
          <cell r="W116">
            <v>3.36</v>
          </cell>
          <cell r="X116">
            <v>0</v>
          </cell>
          <cell r="AD116">
            <v>255.11</v>
          </cell>
          <cell r="AE116">
            <v>255</v>
          </cell>
          <cell r="AF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  <cell r="V117">
            <v>400</v>
          </cell>
          <cell r="W117">
            <v>400</v>
          </cell>
          <cell r="X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  <cell r="V118">
            <v>1705.6</v>
          </cell>
          <cell r="W118">
            <v>1705.6</v>
          </cell>
          <cell r="X118">
            <v>0</v>
          </cell>
        </row>
        <row r="119">
          <cell r="H119">
            <v>0</v>
          </cell>
          <cell r="L119">
            <v>-734</v>
          </cell>
          <cell r="P119">
            <v>1281</v>
          </cell>
          <cell r="T119">
            <v>0</v>
          </cell>
          <cell r="V119">
            <v>14909</v>
          </cell>
          <cell r="W119">
            <v>14362</v>
          </cell>
          <cell r="X119">
            <v>547</v>
          </cell>
          <cell r="AD119">
            <v>1253</v>
          </cell>
          <cell r="AE119">
            <v>0</v>
          </cell>
          <cell r="AF119">
            <v>1253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  <cell r="V120">
            <v>161.15</v>
          </cell>
          <cell r="W120">
            <v>161.15</v>
          </cell>
          <cell r="X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H122">
            <v>0</v>
          </cell>
          <cell r="L122">
            <v>0</v>
          </cell>
          <cell r="P122">
            <v>400</v>
          </cell>
          <cell r="T122">
            <v>0</v>
          </cell>
          <cell r="V122">
            <v>400</v>
          </cell>
          <cell r="W122">
            <v>0</v>
          </cell>
          <cell r="X122">
            <v>400</v>
          </cell>
          <cell r="AD122">
            <v>0</v>
          </cell>
          <cell r="AE122">
            <v>0</v>
          </cell>
          <cell r="AF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  <cell r="V124">
            <v>2359.1799999999998</v>
          </cell>
          <cell r="W124">
            <v>2359.1799999999998</v>
          </cell>
          <cell r="X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H125">
            <v>0</v>
          </cell>
          <cell r="L125">
            <v>0</v>
          </cell>
          <cell r="P125">
            <v>493.92</v>
          </cell>
          <cell r="T125">
            <v>0</v>
          </cell>
          <cell r="V125">
            <v>493.92</v>
          </cell>
          <cell r="W125">
            <v>0</v>
          </cell>
          <cell r="X125">
            <v>493.92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AD126">
            <v>91</v>
          </cell>
          <cell r="AE126">
            <v>91</v>
          </cell>
          <cell r="AF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  <cell r="V127">
            <v>6981.92</v>
          </cell>
          <cell r="W127">
            <v>6981.92</v>
          </cell>
          <cell r="X127">
            <v>0</v>
          </cell>
          <cell r="AD127">
            <v>68.38</v>
          </cell>
          <cell r="AE127">
            <v>68</v>
          </cell>
          <cell r="AF127">
            <v>0</v>
          </cell>
        </row>
        <row r="128">
          <cell r="H128">
            <v>177.84</v>
          </cell>
          <cell r="L128">
            <v>0</v>
          </cell>
          <cell r="P128">
            <v>109.73</v>
          </cell>
          <cell r="T128">
            <v>0</v>
          </cell>
          <cell r="V128">
            <v>11060.599999999999</v>
          </cell>
          <cell r="W128">
            <v>10773.029999999999</v>
          </cell>
          <cell r="X128">
            <v>287.57</v>
          </cell>
          <cell r="AD128">
            <v>202.63</v>
          </cell>
          <cell r="AE128">
            <v>197</v>
          </cell>
          <cell r="AF128">
            <v>5.27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  <cell r="V129">
            <v>5545.6</v>
          </cell>
          <cell r="W129">
            <v>5545.6</v>
          </cell>
          <cell r="X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  <cell r="V130">
            <v>30561</v>
          </cell>
          <cell r="W130">
            <v>30561</v>
          </cell>
          <cell r="X130">
            <v>0</v>
          </cell>
          <cell r="AD130">
            <v>496.56</v>
          </cell>
          <cell r="AE130">
            <v>496</v>
          </cell>
          <cell r="AF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  <cell r="V131">
            <v>4092.41</v>
          </cell>
          <cell r="W131">
            <v>4092.41</v>
          </cell>
          <cell r="X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  <cell r="V132">
            <v>800</v>
          </cell>
          <cell r="W132">
            <v>800</v>
          </cell>
          <cell r="X132">
            <v>0</v>
          </cell>
          <cell r="AD132">
            <v>0</v>
          </cell>
          <cell r="AE132">
            <v>0</v>
          </cell>
          <cell r="AF132">
            <v>0</v>
          </cell>
        </row>
        <row r="164">
          <cell r="V164">
            <v>700454.62</v>
          </cell>
          <cell r="W164">
            <v>673804.09</v>
          </cell>
          <cell r="X164">
            <v>26650.53</v>
          </cell>
        </row>
        <row r="166">
          <cell r="V166">
            <v>307843.94</v>
          </cell>
          <cell r="W166">
            <v>300911.72000000003</v>
          </cell>
          <cell r="X166">
            <v>6932.2199999999993</v>
          </cell>
        </row>
        <row r="167">
          <cell r="V167">
            <v>160361.87</v>
          </cell>
          <cell r="W167">
            <v>155321.43</v>
          </cell>
          <cell r="X167">
            <v>5040.4400000000005</v>
          </cell>
        </row>
        <row r="168">
          <cell r="V168">
            <v>125668.46000000002</v>
          </cell>
          <cell r="W168">
            <v>122982.06000000001</v>
          </cell>
          <cell r="X168">
            <v>2686.4</v>
          </cell>
        </row>
        <row r="169">
          <cell r="V169">
            <v>106580.35</v>
          </cell>
          <cell r="W169">
            <v>94588.87999999999</v>
          </cell>
          <cell r="X169">
            <v>11991.469999999998</v>
          </cell>
        </row>
      </sheetData>
      <sheetData sheetId="5">
        <row r="5">
          <cell r="AC5">
            <v>11528.439999999999</v>
          </cell>
          <cell r="AD5">
            <v>164</v>
          </cell>
          <cell r="AE5">
            <v>11364.439999999999</v>
          </cell>
          <cell r="AI5">
            <v>1581.21</v>
          </cell>
          <cell r="AJ5">
            <v>0</v>
          </cell>
          <cell r="AK5">
            <v>1581.21</v>
          </cell>
        </row>
        <row r="6">
          <cell r="AC6">
            <v>11225</v>
          </cell>
          <cell r="AD6">
            <v>613.5</v>
          </cell>
          <cell r="AE6">
            <v>10611.5</v>
          </cell>
          <cell r="AI6">
            <v>502.4</v>
          </cell>
          <cell r="AJ6">
            <v>0</v>
          </cell>
          <cell r="AK6">
            <v>502.4</v>
          </cell>
        </row>
        <row r="7">
          <cell r="AC7">
            <v>11493.01</v>
          </cell>
          <cell r="AD7">
            <v>310.2</v>
          </cell>
          <cell r="AE7">
            <v>11182.810000000001</v>
          </cell>
          <cell r="AI7">
            <v>874.58</v>
          </cell>
          <cell r="AJ7">
            <v>0</v>
          </cell>
          <cell r="AK7">
            <v>874.58</v>
          </cell>
        </row>
        <row r="8">
          <cell r="AC8">
            <v>625</v>
          </cell>
          <cell r="AD8">
            <v>0</v>
          </cell>
          <cell r="AE8">
            <v>625</v>
          </cell>
        </row>
        <row r="9">
          <cell r="AC9">
            <v>20697.650000000001</v>
          </cell>
          <cell r="AD9">
            <v>94.4</v>
          </cell>
          <cell r="AE9">
            <v>20603.25</v>
          </cell>
          <cell r="AI9">
            <v>26477</v>
          </cell>
          <cell r="AJ9">
            <v>0</v>
          </cell>
          <cell r="AK9">
            <v>26477</v>
          </cell>
        </row>
        <row r="10">
          <cell r="AC10">
            <v>53546</v>
          </cell>
          <cell r="AD10">
            <v>21630.95</v>
          </cell>
          <cell r="AE10">
            <v>31915.05</v>
          </cell>
          <cell r="AI10">
            <v>0</v>
          </cell>
          <cell r="AJ10">
            <v>0</v>
          </cell>
          <cell r="AK10">
            <v>0</v>
          </cell>
        </row>
        <row r="11">
          <cell r="AC11">
            <v>11341.7</v>
          </cell>
          <cell r="AD11">
            <v>61.7</v>
          </cell>
          <cell r="AE11">
            <v>11280</v>
          </cell>
        </row>
        <row r="12">
          <cell r="AC12">
            <v>3855.9</v>
          </cell>
          <cell r="AD12">
            <v>111.23000000000002</v>
          </cell>
          <cell r="AE12">
            <v>3744.67</v>
          </cell>
          <cell r="AI12">
            <v>2185</v>
          </cell>
          <cell r="AJ12">
            <v>2185</v>
          </cell>
          <cell r="AK12">
            <v>0</v>
          </cell>
        </row>
        <row r="13">
          <cell r="AC13">
            <v>2021.17</v>
          </cell>
          <cell r="AD13">
            <v>0</v>
          </cell>
          <cell r="AE13">
            <v>2021.17</v>
          </cell>
        </row>
        <row r="14">
          <cell r="AC14">
            <v>131451.82</v>
          </cell>
          <cell r="AD14">
            <v>44860.060000000005</v>
          </cell>
          <cell r="AE14">
            <v>86591.76</v>
          </cell>
        </row>
        <row r="15">
          <cell r="AC15">
            <v>1645.8200000000002</v>
          </cell>
          <cell r="AD15">
            <v>0</v>
          </cell>
          <cell r="AE15">
            <v>1645.8200000000002</v>
          </cell>
        </row>
        <row r="16">
          <cell r="AC16">
            <v>3376.48</v>
          </cell>
          <cell r="AD16">
            <v>47.5</v>
          </cell>
          <cell r="AE16">
            <v>3328.98</v>
          </cell>
        </row>
        <row r="17">
          <cell r="AC17">
            <v>23600.489999999998</v>
          </cell>
          <cell r="AD17">
            <v>2138.42</v>
          </cell>
          <cell r="AE17">
            <v>21462.07</v>
          </cell>
          <cell r="AI17">
            <v>0</v>
          </cell>
          <cell r="AJ17">
            <v>0</v>
          </cell>
          <cell r="AK17">
            <v>0</v>
          </cell>
        </row>
        <row r="18">
          <cell r="AC18">
            <v>1795.21</v>
          </cell>
          <cell r="AD18">
            <v>20.9</v>
          </cell>
          <cell r="AE18">
            <v>1774.31</v>
          </cell>
          <cell r="AI18">
            <v>0</v>
          </cell>
          <cell r="AJ18">
            <v>0</v>
          </cell>
          <cell r="AK18">
            <v>0</v>
          </cell>
        </row>
        <row r="19">
          <cell r="AC19">
            <v>1927</v>
          </cell>
          <cell r="AD19">
            <v>0</v>
          </cell>
          <cell r="AE19">
            <v>1927</v>
          </cell>
        </row>
        <row r="20">
          <cell r="AC20">
            <v>965</v>
          </cell>
          <cell r="AD20">
            <v>0</v>
          </cell>
          <cell r="AE20">
            <v>965</v>
          </cell>
        </row>
        <row r="21">
          <cell r="AC21">
            <v>17564.830000000002</v>
          </cell>
          <cell r="AD21">
            <v>0</v>
          </cell>
          <cell r="AE21">
            <v>17564.830000000002</v>
          </cell>
          <cell r="AI21">
            <v>0</v>
          </cell>
          <cell r="AJ21">
            <v>0</v>
          </cell>
          <cell r="AK21">
            <v>0</v>
          </cell>
        </row>
        <row r="22">
          <cell r="AC22">
            <v>9005.52</v>
          </cell>
          <cell r="AD22">
            <v>3612.1</v>
          </cell>
          <cell r="AE22">
            <v>5393.42</v>
          </cell>
          <cell r="AI22">
            <v>0</v>
          </cell>
          <cell r="AJ22">
            <v>0</v>
          </cell>
          <cell r="AK22">
            <v>0</v>
          </cell>
        </row>
        <row r="23">
          <cell r="AC23">
            <v>9809.4699999999993</v>
          </cell>
          <cell r="AD23">
            <v>127.15999999999995</v>
          </cell>
          <cell r="AE23">
            <v>9682.31</v>
          </cell>
          <cell r="AI23">
            <v>1721.08</v>
          </cell>
          <cell r="AJ23">
            <v>0</v>
          </cell>
          <cell r="AK23">
            <v>1721.08</v>
          </cell>
        </row>
        <row r="24">
          <cell r="AC24">
            <v>5587.3</v>
          </cell>
          <cell r="AD24">
            <v>11.59</v>
          </cell>
          <cell r="AE24">
            <v>5575.71</v>
          </cell>
        </row>
        <row r="25">
          <cell r="AC25">
            <v>30069.730000000003</v>
          </cell>
          <cell r="AD25">
            <v>6821.8500000000013</v>
          </cell>
          <cell r="AE25">
            <v>23247.879999999997</v>
          </cell>
          <cell r="AI25">
            <v>2316.42</v>
          </cell>
          <cell r="AJ25">
            <v>0</v>
          </cell>
          <cell r="AK25">
            <v>2316.42</v>
          </cell>
        </row>
        <row r="26">
          <cell r="AC26">
            <v>46749.760000000002</v>
          </cell>
          <cell r="AD26">
            <v>55.379999999997381</v>
          </cell>
          <cell r="AE26">
            <v>46694.380000000005</v>
          </cell>
          <cell r="AI26">
            <v>0</v>
          </cell>
          <cell r="AJ26">
            <v>0</v>
          </cell>
          <cell r="AK26">
            <v>0</v>
          </cell>
        </row>
        <row r="27">
          <cell r="AC27">
            <v>21488.58</v>
          </cell>
          <cell r="AD27">
            <v>604.11</v>
          </cell>
          <cell r="AE27">
            <v>20884.47</v>
          </cell>
          <cell r="AI27">
            <v>764.3</v>
          </cell>
          <cell r="AJ27">
            <v>0</v>
          </cell>
          <cell r="AK27">
            <v>764.3</v>
          </cell>
        </row>
        <row r="28">
          <cell r="AC28">
            <v>102376</v>
          </cell>
          <cell r="AD28">
            <v>5057</v>
          </cell>
          <cell r="AE28">
            <v>97319</v>
          </cell>
          <cell r="AI28">
            <v>1694</v>
          </cell>
          <cell r="AJ28">
            <v>0</v>
          </cell>
          <cell r="AK28">
            <v>1694</v>
          </cell>
        </row>
        <row r="29">
          <cell r="AC29">
            <v>780.99</v>
          </cell>
          <cell r="AD29">
            <v>0</v>
          </cell>
          <cell r="AE29">
            <v>780.99</v>
          </cell>
          <cell r="AI29">
            <v>0</v>
          </cell>
          <cell r="AJ29">
            <v>0</v>
          </cell>
          <cell r="AK29">
            <v>0</v>
          </cell>
        </row>
        <row r="30">
          <cell r="AC30">
            <v>122150</v>
          </cell>
          <cell r="AD30">
            <v>1019</v>
          </cell>
          <cell r="AE30">
            <v>121131</v>
          </cell>
          <cell r="AI30">
            <v>4436</v>
          </cell>
          <cell r="AJ30">
            <v>0</v>
          </cell>
          <cell r="AK30">
            <v>4436</v>
          </cell>
        </row>
        <row r="31">
          <cell r="AC31">
            <v>435</v>
          </cell>
          <cell r="AD31">
            <v>0</v>
          </cell>
          <cell r="AE31">
            <v>435</v>
          </cell>
          <cell r="AI31">
            <v>0</v>
          </cell>
          <cell r="AJ31">
            <v>0</v>
          </cell>
          <cell r="AK31">
            <v>0</v>
          </cell>
        </row>
        <row r="32">
          <cell r="AC32">
            <v>29331.190000000002</v>
          </cell>
          <cell r="AD32">
            <v>129.66</v>
          </cell>
          <cell r="AE32">
            <v>29201.53</v>
          </cell>
          <cell r="AI32">
            <v>1612.02</v>
          </cell>
          <cell r="AJ32">
            <v>0</v>
          </cell>
          <cell r="AK32">
            <v>1612.02</v>
          </cell>
        </row>
        <row r="33">
          <cell r="AC33">
            <v>13121.22</v>
          </cell>
          <cell r="AD33">
            <v>257</v>
          </cell>
          <cell r="AE33">
            <v>12864.22</v>
          </cell>
          <cell r="AI33">
            <v>0</v>
          </cell>
          <cell r="AJ33">
            <v>0</v>
          </cell>
          <cell r="AK33">
            <v>0</v>
          </cell>
        </row>
        <row r="34">
          <cell r="AC34">
            <v>882</v>
          </cell>
          <cell r="AD34">
            <v>7</v>
          </cell>
          <cell r="AE34">
            <v>875</v>
          </cell>
        </row>
        <row r="35">
          <cell r="AC35">
            <v>21378</v>
          </cell>
          <cell r="AD35">
            <v>979</v>
          </cell>
          <cell r="AE35">
            <v>20399</v>
          </cell>
          <cell r="AI35">
            <v>556</v>
          </cell>
          <cell r="AJ35">
            <v>0</v>
          </cell>
          <cell r="AK35">
            <v>556</v>
          </cell>
        </row>
        <row r="36">
          <cell r="AC36">
            <v>1957.8200000000002</v>
          </cell>
          <cell r="AD36">
            <v>8</v>
          </cell>
          <cell r="AE36">
            <v>1949.8200000000002</v>
          </cell>
        </row>
        <row r="37">
          <cell r="AC37">
            <v>2513</v>
          </cell>
          <cell r="AD37">
            <v>0</v>
          </cell>
          <cell r="AE37">
            <v>2513</v>
          </cell>
        </row>
        <row r="38">
          <cell r="AC38">
            <v>2016.96</v>
          </cell>
          <cell r="AD38">
            <v>0</v>
          </cell>
          <cell r="AE38">
            <v>2016.96</v>
          </cell>
          <cell r="AI38">
            <v>894.84</v>
          </cell>
          <cell r="AJ38">
            <v>0</v>
          </cell>
          <cell r="AK38">
            <v>894</v>
          </cell>
        </row>
        <row r="39">
          <cell r="AC39">
            <v>4854.34</v>
          </cell>
          <cell r="AD39">
            <v>12.920000000000073</v>
          </cell>
          <cell r="AE39">
            <v>4841.42</v>
          </cell>
        </row>
        <row r="40">
          <cell r="AC40">
            <v>76080.600000000006</v>
          </cell>
          <cell r="AD40">
            <v>18456.599999999999</v>
          </cell>
          <cell r="AE40">
            <v>57624</v>
          </cell>
          <cell r="AI40">
            <v>0</v>
          </cell>
          <cell r="AJ40">
            <v>0</v>
          </cell>
          <cell r="AK40">
            <v>0</v>
          </cell>
        </row>
        <row r="41">
          <cell r="AC41">
            <v>10845.72</v>
          </cell>
          <cell r="AD41">
            <v>0</v>
          </cell>
          <cell r="AE41">
            <v>10845.72</v>
          </cell>
          <cell r="AI41">
            <v>1359.72</v>
          </cell>
          <cell r="AJ41">
            <v>0</v>
          </cell>
          <cell r="AK41">
            <v>1359.72</v>
          </cell>
        </row>
        <row r="42">
          <cell r="AC42">
            <v>6727</v>
          </cell>
          <cell r="AD42">
            <v>31</v>
          </cell>
          <cell r="AE42">
            <v>6696</v>
          </cell>
          <cell r="AI42">
            <v>86</v>
          </cell>
          <cell r="AJ42">
            <v>0</v>
          </cell>
          <cell r="AK42">
            <v>86</v>
          </cell>
        </row>
        <row r="43">
          <cell r="AC43">
            <v>3936.1400000000003</v>
          </cell>
          <cell r="AD43">
            <v>0</v>
          </cell>
          <cell r="AE43">
            <v>3936.1400000000003</v>
          </cell>
          <cell r="AI43">
            <v>75.209999999999994</v>
          </cell>
          <cell r="AJ43">
            <v>0</v>
          </cell>
          <cell r="AK43">
            <v>75.209999999999994</v>
          </cell>
        </row>
        <row r="44">
          <cell r="AC44">
            <v>11819.5</v>
          </cell>
          <cell r="AD44">
            <v>145.49</v>
          </cell>
          <cell r="AE44">
            <v>11674.01</v>
          </cell>
          <cell r="AI44">
            <v>3202</v>
          </cell>
          <cell r="AJ44">
            <v>0</v>
          </cell>
          <cell r="AK44">
            <v>3202</v>
          </cell>
        </row>
        <row r="45">
          <cell r="AC45">
            <v>77353.27</v>
          </cell>
          <cell r="AD45">
            <v>77.989999999999995</v>
          </cell>
          <cell r="AE45">
            <v>77275.280000000013</v>
          </cell>
          <cell r="AI45">
            <v>728.36</v>
          </cell>
          <cell r="AJ45">
            <v>0</v>
          </cell>
          <cell r="AK45">
            <v>728</v>
          </cell>
        </row>
        <row r="46">
          <cell r="AC46">
            <v>2322.04</v>
          </cell>
          <cell r="AD46">
            <v>0</v>
          </cell>
          <cell r="AE46">
            <v>2322.04</v>
          </cell>
        </row>
        <row r="47">
          <cell r="AC47">
            <v>3096.57</v>
          </cell>
          <cell r="AD47">
            <v>25.259999999999998</v>
          </cell>
          <cell r="AE47">
            <v>3071.3100000000004</v>
          </cell>
        </row>
        <row r="48">
          <cell r="AC48">
            <v>39079.800000000003</v>
          </cell>
          <cell r="AD48">
            <v>2137.2799999999993</v>
          </cell>
          <cell r="AE48">
            <v>36942.520000000004</v>
          </cell>
          <cell r="AI48">
            <v>0</v>
          </cell>
          <cell r="AJ48">
            <v>0</v>
          </cell>
          <cell r="AK48">
            <v>0</v>
          </cell>
        </row>
        <row r="49">
          <cell r="AC49">
            <v>975.1</v>
          </cell>
          <cell r="AD49">
            <v>0</v>
          </cell>
          <cell r="AE49">
            <v>975.1</v>
          </cell>
        </row>
        <row r="50">
          <cell r="AC50">
            <v>2853.77</v>
          </cell>
          <cell r="AD50">
            <v>0</v>
          </cell>
          <cell r="AE50">
            <v>2853.77</v>
          </cell>
          <cell r="AI50">
            <v>0</v>
          </cell>
          <cell r="AJ50">
            <v>0</v>
          </cell>
          <cell r="AK50">
            <v>0</v>
          </cell>
        </row>
        <row r="51">
          <cell r="AC51">
            <v>15828.869999999999</v>
          </cell>
          <cell r="AD51">
            <v>145</v>
          </cell>
          <cell r="AE51">
            <v>15683.869999999999</v>
          </cell>
          <cell r="AI51">
            <v>570</v>
          </cell>
          <cell r="AJ51">
            <v>0</v>
          </cell>
          <cell r="AK51">
            <v>570</v>
          </cell>
        </row>
        <row r="52">
          <cell r="AC52">
            <v>4438.5</v>
          </cell>
          <cell r="AD52">
            <v>6.5</v>
          </cell>
          <cell r="AE52">
            <v>4432</v>
          </cell>
          <cell r="AI52">
            <v>200</v>
          </cell>
          <cell r="AJ52">
            <v>0</v>
          </cell>
          <cell r="AK52">
            <v>200</v>
          </cell>
        </row>
        <row r="53">
          <cell r="AC53">
            <v>9651</v>
          </cell>
          <cell r="AD53">
            <v>15</v>
          </cell>
          <cell r="AE53">
            <v>9636</v>
          </cell>
        </row>
        <row r="54">
          <cell r="AC54">
            <v>4842.95</v>
          </cell>
          <cell r="AD54">
            <v>25.990000000000002</v>
          </cell>
          <cell r="AE54">
            <v>4816.96</v>
          </cell>
          <cell r="AI54">
            <v>1051.5</v>
          </cell>
          <cell r="AJ54">
            <v>0</v>
          </cell>
          <cell r="AK54">
            <v>1051.5</v>
          </cell>
        </row>
        <row r="55">
          <cell r="AC55">
            <v>931.25</v>
          </cell>
          <cell r="AD55">
            <v>0.2</v>
          </cell>
          <cell r="AE55">
            <v>931.05</v>
          </cell>
          <cell r="AI55">
            <v>8</v>
          </cell>
          <cell r="AJ55">
            <v>0</v>
          </cell>
          <cell r="AK55">
            <v>8</v>
          </cell>
        </row>
        <row r="56">
          <cell r="AC56">
            <v>22917</v>
          </cell>
          <cell r="AD56">
            <v>1025</v>
          </cell>
          <cell r="AE56">
            <v>21892</v>
          </cell>
          <cell r="AI56">
            <v>1012</v>
          </cell>
          <cell r="AJ56">
            <v>0</v>
          </cell>
          <cell r="AK56">
            <v>1012</v>
          </cell>
        </row>
        <row r="57">
          <cell r="AC57">
            <v>3616.3399999999997</v>
          </cell>
          <cell r="AD57">
            <v>5.2</v>
          </cell>
          <cell r="AE57">
            <v>3611.14</v>
          </cell>
          <cell r="AI57">
            <v>0</v>
          </cell>
          <cell r="AJ57">
            <v>0</v>
          </cell>
          <cell r="AK57">
            <v>0</v>
          </cell>
        </row>
        <row r="58">
          <cell r="AC58">
            <v>6892</v>
          </cell>
          <cell r="AD58">
            <v>0</v>
          </cell>
          <cell r="AE58">
            <v>6892</v>
          </cell>
          <cell r="AI58">
            <v>0</v>
          </cell>
          <cell r="AJ58">
            <v>0</v>
          </cell>
          <cell r="AK58">
            <v>0</v>
          </cell>
        </row>
        <row r="59">
          <cell r="AC59">
            <v>38539</v>
          </cell>
          <cell r="AD59">
            <v>243</v>
          </cell>
          <cell r="AE59">
            <v>38296</v>
          </cell>
          <cell r="AI59">
            <v>0</v>
          </cell>
          <cell r="AJ59">
            <v>0</v>
          </cell>
          <cell r="AK59">
            <v>0</v>
          </cell>
        </row>
        <row r="60">
          <cell r="AC60">
            <v>3360.89</v>
          </cell>
          <cell r="AD60">
            <v>538.11999999999989</v>
          </cell>
          <cell r="AE60">
            <v>2822.77</v>
          </cell>
        </row>
        <row r="61">
          <cell r="AC61">
            <v>41316.01</v>
          </cell>
          <cell r="AD61">
            <v>8700.1699999999983</v>
          </cell>
          <cell r="AE61">
            <v>32615.840000000004</v>
          </cell>
          <cell r="AI61">
            <v>0</v>
          </cell>
          <cell r="AJ61">
            <v>0</v>
          </cell>
          <cell r="AK61">
            <v>0</v>
          </cell>
        </row>
        <row r="62">
          <cell r="AC62">
            <v>8113.28</v>
          </cell>
          <cell r="AD62">
            <v>788.28000000000009</v>
          </cell>
          <cell r="AE62">
            <v>7325</v>
          </cell>
          <cell r="AI62">
            <v>683</v>
          </cell>
          <cell r="AJ62">
            <v>0</v>
          </cell>
          <cell r="AK62">
            <v>683</v>
          </cell>
        </row>
        <row r="63">
          <cell r="AC63">
            <v>1523.5</v>
          </cell>
          <cell r="AD63">
            <v>5</v>
          </cell>
          <cell r="AE63">
            <v>1518.5</v>
          </cell>
          <cell r="AI63">
            <v>117</v>
          </cell>
          <cell r="AJ63">
            <v>0</v>
          </cell>
          <cell r="AK63">
            <v>117</v>
          </cell>
        </row>
        <row r="64">
          <cell r="AC64">
            <v>11949.85</v>
          </cell>
          <cell r="AD64">
            <v>108.84</v>
          </cell>
          <cell r="AE64">
            <v>11841.01</v>
          </cell>
          <cell r="AI64">
            <v>1848.62</v>
          </cell>
          <cell r="AJ64">
            <v>0</v>
          </cell>
          <cell r="AK64">
            <v>1848.62</v>
          </cell>
        </row>
        <row r="65">
          <cell r="AC65">
            <v>3663.7000000000003</v>
          </cell>
          <cell r="AD65">
            <v>503.01</v>
          </cell>
          <cell r="AE65">
            <v>3160.69</v>
          </cell>
          <cell r="AI65">
            <v>139.35</v>
          </cell>
          <cell r="AJ65">
            <v>79</v>
          </cell>
          <cell r="AK65">
            <v>60.35</v>
          </cell>
        </row>
        <row r="66">
          <cell r="AC66">
            <v>26847.15</v>
          </cell>
          <cell r="AD66">
            <v>4401.63</v>
          </cell>
          <cell r="AE66">
            <v>22445.52</v>
          </cell>
          <cell r="AI66">
            <v>282.66000000000003</v>
          </cell>
          <cell r="AJ66">
            <v>0</v>
          </cell>
          <cell r="AK66">
            <v>282.66000000000003</v>
          </cell>
        </row>
        <row r="67">
          <cell r="AC67">
            <v>2745.08</v>
          </cell>
          <cell r="AD67">
            <v>10.93</v>
          </cell>
          <cell r="AE67">
            <v>2734.15</v>
          </cell>
        </row>
        <row r="68">
          <cell r="AC68">
            <v>6055</v>
          </cell>
          <cell r="AD68">
            <v>10</v>
          </cell>
          <cell r="AE68">
            <v>6045</v>
          </cell>
          <cell r="AI68">
            <v>0</v>
          </cell>
          <cell r="AJ68">
            <v>0</v>
          </cell>
          <cell r="AK68">
            <v>0</v>
          </cell>
        </row>
        <row r="69">
          <cell r="AC69">
            <v>51839</v>
          </cell>
          <cell r="AD69">
            <v>114</v>
          </cell>
          <cell r="AE69">
            <v>51725</v>
          </cell>
          <cell r="AI69">
            <v>1080</v>
          </cell>
          <cell r="AJ69">
            <v>0</v>
          </cell>
          <cell r="AK69">
            <v>1080</v>
          </cell>
        </row>
        <row r="70">
          <cell r="AC70">
            <v>8315</v>
          </cell>
          <cell r="AD70">
            <v>1161</v>
          </cell>
          <cell r="AE70">
            <v>7154</v>
          </cell>
        </row>
        <row r="71">
          <cell r="AC71">
            <v>2960.96</v>
          </cell>
          <cell r="AD71">
            <v>0</v>
          </cell>
          <cell r="AE71">
            <v>2960.96</v>
          </cell>
          <cell r="AI71">
            <v>823.86</v>
          </cell>
          <cell r="AJ71">
            <v>772</v>
          </cell>
          <cell r="AK71">
            <v>51.26</v>
          </cell>
        </row>
        <row r="72">
          <cell r="AC72">
            <v>13577</v>
          </cell>
          <cell r="AD72">
            <v>5853</v>
          </cell>
          <cell r="AE72">
            <v>7724</v>
          </cell>
          <cell r="AI72">
            <v>395</v>
          </cell>
          <cell r="AJ72">
            <v>0</v>
          </cell>
          <cell r="AK72">
            <v>395</v>
          </cell>
        </row>
        <row r="73">
          <cell r="AC73">
            <v>26546.47</v>
          </cell>
          <cell r="AD73">
            <v>31.78</v>
          </cell>
          <cell r="AE73">
            <v>26514.690000000002</v>
          </cell>
        </row>
        <row r="74">
          <cell r="AC74">
            <v>60559.62000000001</v>
          </cell>
          <cell r="AD74">
            <v>3266</v>
          </cell>
          <cell r="AE74">
            <v>57293.62000000001</v>
          </cell>
          <cell r="AI74">
            <v>0</v>
          </cell>
          <cell r="AJ74">
            <v>0</v>
          </cell>
          <cell r="AK74">
            <v>0</v>
          </cell>
        </row>
        <row r="75">
          <cell r="AC75">
            <v>2275</v>
          </cell>
          <cell r="AD75">
            <v>90</v>
          </cell>
          <cell r="AE75">
            <v>2185</v>
          </cell>
          <cell r="AI75">
            <v>1</v>
          </cell>
          <cell r="AJ75">
            <v>0</v>
          </cell>
          <cell r="AK75">
            <v>1</v>
          </cell>
        </row>
        <row r="76">
          <cell r="AC76">
            <v>1053.73</v>
          </cell>
          <cell r="AD76">
            <v>0</v>
          </cell>
          <cell r="AE76">
            <v>1053.73</v>
          </cell>
          <cell r="AI76">
            <v>0</v>
          </cell>
          <cell r="AJ76">
            <v>0</v>
          </cell>
          <cell r="AK76">
            <v>0</v>
          </cell>
        </row>
        <row r="77">
          <cell r="AC77">
            <v>29683.599999999999</v>
          </cell>
          <cell r="AD77">
            <v>89</v>
          </cell>
          <cell r="AE77">
            <v>29594.6</v>
          </cell>
          <cell r="AI77">
            <v>1816</v>
          </cell>
          <cell r="AJ77">
            <v>0</v>
          </cell>
          <cell r="AK77">
            <v>1816</v>
          </cell>
        </row>
        <row r="78">
          <cell r="AC78">
            <v>48970.310000000005</v>
          </cell>
          <cell r="AD78">
            <v>0</v>
          </cell>
          <cell r="AE78">
            <v>48970.310000000005</v>
          </cell>
          <cell r="AI78">
            <v>0</v>
          </cell>
          <cell r="AJ78">
            <v>0</v>
          </cell>
          <cell r="AK78">
            <v>0</v>
          </cell>
        </row>
        <row r="79">
          <cell r="AC79">
            <v>13466.720000000001</v>
          </cell>
          <cell r="AD79">
            <v>36.42</v>
          </cell>
          <cell r="AE79">
            <v>13430.3</v>
          </cell>
          <cell r="AI79">
            <v>592.46</v>
          </cell>
          <cell r="AJ79">
            <v>592</v>
          </cell>
          <cell r="AK79">
            <v>0</v>
          </cell>
        </row>
        <row r="80">
          <cell r="AC80">
            <v>6795.36</v>
          </cell>
          <cell r="AD80">
            <v>334.63</v>
          </cell>
          <cell r="AE80">
            <v>6460.7299999999987</v>
          </cell>
          <cell r="AI80">
            <v>319.31</v>
          </cell>
          <cell r="AJ80">
            <v>0</v>
          </cell>
          <cell r="AK80">
            <v>319.31</v>
          </cell>
        </row>
        <row r="81">
          <cell r="AC81">
            <v>6921</v>
          </cell>
          <cell r="AD81">
            <v>642</v>
          </cell>
          <cell r="AE81">
            <v>6279</v>
          </cell>
          <cell r="AI81">
            <v>46</v>
          </cell>
          <cell r="AJ81">
            <v>0</v>
          </cell>
          <cell r="AK81">
            <v>46</v>
          </cell>
        </row>
        <row r="82">
          <cell r="AC82">
            <v>1789.93</v>
          </cell>
          <cell r="AD82">
            <v>0</v>
          </cell>
          <cell r="AE82">
            <v>1789.93</v>
          </cell>
        </row>
        <row r="83">
          <cell r="AC83">
            <v>914</v>
          </cell>
          <cell r="AD83">
            <v>0</v>
          </cell>
          <cell r="AE83">
            <v>914</v>
          </cell>
        </row>
        <row r="84">
          <cell r="AC84">
            <v>5214.26</v>
          </cell>
          <cell r="AD84">
            <v>41.54</v>
          </cell>
          <cell r="AE84">
            <v>5172.7199999999993</v>
          </cell>
          <cell r="AI84">
            <v>421.68</v>
          </cell>
          <cell r="AJ84">
            <v>0</v>
          </cell>
          <cell r="AK84">
            <v>421.68</v>
          </cell>
        </row>
        <row r="85">
          <cell r="AC85">
            <v>4116</v>
          </cell>
          <cell r="AD85">
            <v>105.15000000000009</v>
          </cell>
          <cell r="AE85">
            <v>4010.85</v>
          </cell>
        </row>
        <row r="86">
          <cell r="AC86">
            <v>3931.09</v>
          </cell>
          <cell r="AD86">
            <v>47.06</v>
          </cell>
          <cell r="AE86">
            <v>3884.03</v>
          </cell>
        </row>
        <row r="87">
          <cell r="AC87">
            <v>2885.53</v>
          </cell>
          <cell r="AD87">
            <v>7.5299999999999994</v>
          </cell>
          <cell r="AE87">
            <v>2878</v>
          </cell>
        </row>
        <row r="88">
          <cell r="AC88">
            <v>1434</v>
          </cell>
          <cell r="AD88">
            <v>0</v>
          </cell>
          <cell r="AE88">
            <v>1434</v>
          </cell>
        </row>
        <row r="89">
          <cell r="AC89">
            <v>54309.94</v>
          </cell>
          <cell r="AD89">
            <v>3470.3700000000008</v>
          </cell>
          <cell r="AE89">
            <v>50839.57</v>
          </cell>
          <cell r="AI89">
            <v>12279.1</v>
          </cell>
          <cell r="AJ89">
            <v>0</v>
          </cell>
          <cell r="AK89">
            <v>12279</v>
          </cell>
        </row>
        <row r="90">
          <cell r="AC90">
            <v>15720</v>
          </cell>
          <cell r="AD90">
            <v>193</v>
          </cell>
          <cell r="AE90">
            <v>15527</v>
          </cell>
          <cell r="AI90">
            <v>235</v>
          </cell>
          <cell r="AJ90">
            <v>235</v>
          </cell>
          <cell r="AK90">
            <v>0</v>
          </cell>
        </row>
        <row r="91">
          <cell r="AC91">
            <v>56500.69</v>
          </cell>
          <cell r="AD91">
            <v>16198.309999999998</v>
          </cell>
          <cell r="AE91">
            <v>40302.380000000005</v>
          </cell>
          <cell r="AI91">
            <v>0</v>
          </cell>
          <cell r="AJ91">
            <v>0</v>
          </cell>
          <cell r="AK91">
            <v>0</v>
          </cell>
        </row>
        <row r="92">
          <cell r="AC92">
            <v>4228</v>
          </cell>
          <cell r="AD92">
            <v>14</v>
          </cell>
          <cell r="AE92">
            <v>4214</v>
          </cell>
          <cell r="AI92">
            <v>0</v>
          </cell>
          <cell r="AJ92">
            <v>0</v>
          </cell>
          <cell r="AK92">
            <v>0</v>
          </cell>
        </row>
        <row r="93">
          <cell r="AC93">
            <v>19293.2</v>
          </cell>
          <cell r="AD93">
            <v>47.23</v>
          </cell>
          <cell r="AE93">
            <v>19245.97</v>
          </cell>
          <cell r="AI93">
            <v>1061</v>
          </cell>
          <cell r="AJ93">
            <v>2</v>
          </cell>
          <cell r="AK93">
            <v>1059.0999999999999</v>
          </cell>
        </row>
        <row r="94">
          <cell r="AC94">
            <v>3106.6</v>
          </cell>
          <cell r="AD94">
            <v>5.5</v>
          </cell>
          <cell r="AE94">
            <v>3101.1</v>
          </cell>
          <cell r="AI94">
            <v>9677.4699999999993</v>
          </cell>
          <cell r="AJ94">
            <v>1705</v>
          </cell>
          <cell r="AK94">
            <v>7972.41</v>
          </cell>
        </row>
        <row r="95">
          <cell r="AC95">
            <v>54374</v>
          </cell>
          <cell r="AD95">
            <v>21059</v>
          </cell>
          <cell r="AE95">
            <v>33315</v>
          </cell>
          <cell r="AI95">
            <v>1211</v>
          </cell>
          <cell r="AJ95">
            <v>0</v>
          </cell>
          <cell r="AK95">
            <v>1211</v>
          </cell>
        </row>
        <row r="96">
          <cell r="AC96">
            <v>44155.69</v>
          </cell>
          <cell r="AD96">
            <v>31.91</v>
          </cell>
          <cell r="AE96">
            <v>44123.78</v>
          </cell>
          <cell r="AI96">
            <v>1057.1400000000001</v>
          </cell>
          <cell r="AJ96">
            <v>0</v>
          </cell>
          <cell r="AK96">
            <v>1057.1400000000001</v>
          </cell>
        </row>
        <row r="97">
          <cell r="AC97">
            <v>16165.52</v>
          </cell>
          <cell r="AD97">
            <v>32.730000000000004</v>
          </cell>
          <cell r="AE97">
            <v>16132.789999999999</v>
          </cell>
          <cell r="AI97">
            <v>885.05</v>
          </cell>
          <cell r="AJ97">
            <v>0</v>
          </cell>
          <cell r="AK97">
            <v>885.05</v>
          </cell>
        </row>
        <row r="98">
          <cell r="AC98">
            <v>34729.69</v>
          </cell>
          <cell r="AD98">
            <v>10365.639999999998</v>
          </cell>
          <cell r="AE98">
            <v>24364.05</v>
          </cell>
          <cell r="AI98">
            <v>1435.55</v>
          </cell>
          <cell r="AJ98">
            <v>0</v>
          </cell>
          <cell r="AK98">
            <v>1435.55</v>
          </cell>
        </row>
        <row r="99">
          <cell r="AC99">
            <v>15699.09</v>
          </cell>
          <cell r="AD99">
            <v>105.94</v>
          </cell>
          <cell r="AE99">
            <v>15593.150000000001</v>
          </cell>
        </row>
        <row r="100">
          <cell r="AC100">
            <v>29808</v>
          </cell>
          <cell r="AD100">
            <v>7689</v>
          </cell>
          <cell r="AE100">
            <v>22119</v>
          </cell>
          <cell r="AI100">
            <v>966</v>
          </cell>
          <cell r="AJ100">
            <v>291</v>
          </cell>
          <cell r="AK100">
            <v>675</v>
          </cell>
        </row>
        <row r="101">
          <cell r="AC101">
            <v>5113</v>
          </cell>
          <cell r="AD101">
            <v>1</v>
          </cell>
          <cell r="AE101">
            <v>5112</v>
          </cell>
          <cell r="AI101">
            <v>49</v>
          </cell>
          <cell r="AJ101">
            <v>0</v>
          </cell>
          <cell r="AK101">
            <v>49</v>
          </cell>
        </row>
        <row r="102">
          <cell r="AC102">
            <v>31185.49</v>
          </cell>
          <cell r="AD102">
            <v>5011.880000000001</v>
          </cell>
          <cell r="AE102">
            <v>26173.61</v>
          </cell>
          <cell r="AI102">
            <v>608</v>
          </cell>
          <cell r="AJ102">
            <v>0</v>
          </cell>
          <cell r="AK102">
            <v>608</v>
          </cell>
        </row>
        <row r="103">
          <cell r="AC103">
            <v>19322.78</v>
          </cell>
          <cell r="AD103">
            <v>167.14</v>
          </cell>
          <cell r="AE103">
            <v>19155.64</v>
          </cell>
          <cell r="AI103">
            <v>1089.77</v>
          </cell>
          <cell r="AJ103">
            <v>0</v>
          </cell>
          <cell r="AK103">
            <v>1089.77</v>
          </cell>
        </row>
        <row r="104">
          <cell r="AC104">
            <v>46241.1</v>
          </cell>
          <cell r="AD104">
            <v>4153.2000000000007</v>
          </cell>
          <cell r="AE104">
            <v>42087.9</v>
          </cell>
          <cell r="AI104">
            <v>1219.5999999999999</v>
          </cell>
          <cell r="AJ104">
            <v>0</v>
          </cell>
          <cell r="AK104">
            <v>1219.5999999999999</v>
          </cell>
        </row>
        <row r="105">
          <cell r="AC105">
            <v>8381.2199999999993</v>
          </cell>
          <cell r="AD105">
            <v>137.62</v>
          </cell>
          <cell r="AE105">
            <v>8243.6</v>
          </cell>
        </row>
        <row r="106">
          <cell r="AC106">
            <v>5744.4500000000007</v>
          </cell>
          <cell r="AD106">
            <v>157.77000000000001</v>
          </cell>
          <cell r="AE106">
            <v>5586.68</v>
          </cell>
        </row>
        <row r="107">
          <cell r="AC107">
            <v>5973</v>
          </cell>
          <cell r="AD107">
            <v>0</v>
          </cell>
          <cell r="AE107">
            <v>5973</v>
          </cell>
          <cell r="AI107">
            <v>100</v>
          </cell>
          <cell r="AJ107">
            <v>0</v>
          </cell>
          <cell r="AK107">
            <v>100</v>
          </cell>
        </row>
        <row r="108">
          <cell r="AC108">
            <v>11621.31</v>
          </cell>
          <cell r="AD108">
            <v>263.81</v>
          </cell>
          <cell r="AE108">
            <v>11357.5</v>
          </cell>
          <cell r="AI108">
            <v>0</v>
          </cell>
          <cell r="AJ108">
            <v>0</v>
          </cell>
          <cell r="AK108">
            <v>0</v>
          </cell>
        </row>
        <row r="109">
          <cell r="AC109">
            <v>71440</v>
          </cell>
          <cell r="AD109">
            <v>9698</v>
          </cell>
          <cell r="AE109">
            <v>61742</v>
          </cell>
          <cell r="AI109">
            <v>0</v>
          </cell>
          <cell r="AJ109">
            <v>0</v>
          </cell>
          <cell r="AK109">
            <v>0</v>
          </cell>
        </row>
        <row r="110">
          <cell r="AC110">
            <v>49238.91</v>
          </cell>
          <cell r="AD110">
            <v>13999.91</v>
          </cell>
          <cell r="AE110">
            <v>35239</v>
          </cell>
          <cell r="AI110">
            <v>5336</v>
          </cell>
          <cell r="AJ110">
            <v>1591</v>
          </cell>
          <cell r="AK110">
            <v>3745</v>
          </cell>
        </row>
        <row r="111">
          <cell r="AC111">
            <v>22867.83</v>
          </cell>
          <cell r="AD111">
            <v>1792.51</v>
          </cell>
          <cell r="AE111">
            <v>21075.32</v>
          </cell>
          <cell r="AI111">
            <v>78.58</v>
          </cell>
          <cell r="AJ111">
            <v>0</v>
          </cell>
          <cell r="AK111">
            <v>78.58</v>
          </cell>
        </row>
        <row r="112">
          <cell r="AC112">
            <v>2257</v>
          </cell>
          <cell r="AD112">
            <v>0</v>
          </cell>
          <cell r="AE112">
            <v>2257</v>
          </cell>
        </row>
        <row r="113">
          <cell r="AC113">
            <v>2570.7200000000003</v>
          </cell>
          <cell r="AD113">
            <v>2.02</v>
          </cell>
          <cell r="AE113">
            <v>2568.6999999999998</v>
          </cell>
          <cell r="AI113">
            <v>70</v>
          </cell>
          <cell r="AJ113">
            <v>0</v>
          </cell>
          <cell r="AK113">
            <v>70</v>
          </cell>
        </row>
        <row r="114">
          <cell r="AC114">
            <v>46521.579999999994</v>
          </cell>
          <cell r="AD114">
            <v>4847.5800000000008</v>
          </cell>
          <cell r="AE114">
            <v>41674</v>
          </cell>
          <cell r="AI114">
            <v>0</v>
          </cell>
          <cell r="AJ114">
            <v>0</v>
          </cell>
          <cell r="AK114">
            <v>0</v>
          </cell>
        </row>
        <row r="115">
          <cell r="AC115">
            <v>22859.02</v>
          </cell>
          <cell r="AD115">
            <v>51.730000000000004</v>
          </cell>
          <cell r="AE115">
            <v>22807.29</v>
          </cell>
        </row>
        <row r="116">
          <cell r="AC116">
            <v>16824.129999999997</v>
          </cell>
          <cell r="AD116">
            <v>2642.7299999999996</v>
          </cell>
          <cell r="AE116">
            <v>14181.4</v>
          </cell>
          <cell r="AI116">
            <v>1829.36</v>
          </cell>
          <cell r="AJ116">
            <v>0</v>
          </cell>
          <cell r="AK116">
            <v>1829.36</v>
          </cell>
        </row>
        <row r="117">
          <cell r="AC117">
            <v>4674</v>
          </cell>
          <cell r="AD117">
            <v>174</v>
          </cell>
          <cell r="AE117">
            <v>4500</v>
          </cell>
        </row>
        <row r="118">
          <cell r="AC118">
            <v>2034.12</v>
          </cell>
          <cell r="AD118">
            <v>45.81</v>
          </cell>
          <cell r="AE118">
            <v>1988.31</v>
          </cell>
        </row>
        <row r="119">
          <cell r="AC119">
            <v>16820</v>
          </cell>
          <cell r="AD119">
            <v>279</v>
          </cell>
          <cell r="AE119">
            <v>16541</v>
          </cell>
          <cell r="AI119">
            <v>2173</v>
          </cell>
          <cell r="AJ119">
            <v>0</v>
          </cell>
          <cell r="AK119">
            <v>2173</v>
          </cell>
        </row>
        <row r="120">
          <cell r="AC120">
            <v>434.71</v>
          </cell>
          <cell r="AD120">
            <v>0</v>
          </cell>
          <cell r="AE120">
            <v>434.71</v>
          </cell>
        </row>
        <row r="121">
          <cell r="AC121">
            <v>1500</v>
          </cell>
          <cell r="AD121">
            <v>0</v>
          </cell>
          <cell r="AE121">
            <v>1500</v>
          </cell>
        </row>
        <row r="122">
          <cell r="AC122">
            <v>2132</v>
          </cell>
          <cell r="AD122">
            <v>0</v>
          </cell>
          <cell r="AE122">
            <v>2132</v>
          </cell>
          <cell r="AI122">
            <v>0</v>
          </cell>
          <cell r="AJ122">
            <v>0</v>
          </cell>
          <cell r="AK122">
            <v>0</v>
          </cell>
        </row>
        <row r="123">
          <cell r="AC123">
            <v>3967</v>
          </cell>
          <cell r="AD123">
            <v>0</v>
          </cell>
          <cell r="AE123">
            <v>3967</v>
          </cell>
        </row>
        <row r="124">
          <cell r="AC124">
            <v>16544.760000000002</v>
          </cell>
          <cell r="AD124">
            <v>6267.1200000000008</v>
          </cell>
          <cell r="AE124">
            <v>10277.64</v>
          </cell>
          <cell r="AI124">
            <v>415.64</v>
          </cell>
          <cell r="AJ124">
            <v>0</v>
          </cell>
          <cell r="AK124">
            <v>415</v>
          </cell>
        </row>
        <row r="125">
          <cell r="AC125">
            <v>1458</v>
          </cell>
          <cell r="AD125">
            <v>0</v>
          </cell>
          <cell r="AE125">
            <v>1458</v>
          </cell>
        </row>
        <row r="126">
          <cell r="AC126">
            <v>2371.62</v>
          </cell>
          <cell r="AD126">
            <v>0</v>
          </cell>
          <cell r="AE126">
            <v>2371.62</v>
          </cell>
          <cell r="AI126">
            <v>77</v>
          </cell>
          <cell r="AJ126">
            <v>0</v>
          </cell>
          <cell r="AK126">
            <v>77</v>
          </cell>
        </row>
        <row r="127">
          <cell r="AC127">
            <v>17611.38</v>
          </cell>
          <cell r="AD127">
            <v>2485.8200000000006</v>
          </cell>
          <cell r="AE127">
            <v>15125.560000000001</v>
          </cell>
          <cell r="AI127">
            <v>989.02</v>
          </cell>
          <cell r="AJ127">
            <v>0</v>
          </cell>
          <cell r="AK127">
            <v>989.02</v>
          </cell>
        </row>
        <row r="128">
          <cell r="AC128">
            <v>14405.349999999999</v>
          </cell>
          <cell r="AD128">
            <v>4436.68</v>
          </cell>
          <cell r="AE128">
            <v>9968.67</v>
          </cell>
          <cell r="AI128">
            <v>496.38</v>
          </cell>
          <cell r="AJ128">
            <v>471</v>
          </cell>
          <cell r="AK128">
            <v>25.04</v>
          </cell>
        </row>
        <row r="129">
          <cell r="AC129">
            <v>13782.84</v>
          </cell>
          <cell r="AD129">
            <v>2456.44</v>
          </cell>
          <cell r="AE129">
            <v>11326.4</v>
          </cell>
          <cell r="AI129">
            <v>0</v>
          </cell>
          <cell r="AJ129">
            <v>0</v>
          </cell>
          <cell r="AK129">
            <v>0</v>
          </cell>
        </row>
        <row r="130">
          <cell r="AC130">
            <v>44002</v>
          </cell>
          <cell r="AD130">
            <v>61</v>
          </cell>
          <cell r="AE130">
            <v>43941</v>
          </cell>
          <cell r="AI130">
            <v>4307.33</v>
          </cell>
          <cell r="AJ130">
            <v>0</v>
          </cell>
          <cell r="AK130">
            <v>4307.33</v>
          </cell>
        </row>
        <row r="131">
          <cell r="AC131">
            <v>12844.09</v>
          </cell>
          <cell r="AD131">
            <v>1930.0900000000008</v>
          </cell>
          <cell r="AE131">
            <v>10914</v>
          </cell>
          <cell r="AI131">
            <v>646.30999999999995</v>
          </cell>
          <cell r="AJ131">
            <v>0</v>
          </cell>
          <cell r="AK131">
            <v>646</v>
          </cell>
        </row>
        <row r="132">
          <cell r="AC132">
            <v>7615</v>
          </cell>
          <cell r="AD132">
            <v>1800</v>
          </cell>
          <cell r="AE132">
            <v>5815</v>
          </cell>
          <cell r="AI132">
            <v>0</v>
          </cell>
          <cell r="AJ132">
            <v>0</v>
          </cell>
          <cell r="AK132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1-Services"/>
      <sheetName val="App 2-Totals"/>
      <sheetName val="App 3-Recycling Rate"/>
      <sheetName val="App 4-Recyclables"/>
      <sheetName val="App 5-Organics"/>
      <sheetName val="App 6-Residual Waste"/>
      <sheetName val="App 7-Household and Capita"/>
      <sheetName val="App 8-Bin Size and Frequency"/>
      <sheetName val="App 8a - Rec Materials Acepted"/>
      <sheetName val="App 9-AW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n White" id="{205C2629-75ED-4B90-90CD-61F51D8F2ECC}" userId="S::Ron.White@epa.nsw.gov.au::53e2dcfa-ceee-4f9b-85ed-04b6b0bf4c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" dT="2019-07-29T03:54:06.79" personId="{205C2629-75ED-4B90-90CD-61F51D8F2ECC}" id="{B351986F-4D10-40D4-A00D-60241532A5E0}">
    <text>Includes all CDS returned in LGA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bom.gov.au/cgi-bin/climate/change/timeseries.cgi?graph=rain&amp;area=nsw&amp;season=0706&amp;ave_yr=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44"/>
  <sheetViews>
    <sheetView tabSelected="1" workbookViewId="0">
      <pane xSplit="4" ySplit="3" topLeftCell="E4" activePane="bottomRight" state="frozen"/>
      <selection activeCell="B36" sqref="B36"/>
      <selection pane="topRight" activeCell="B36" sqref="B36"/>
      <selection pane="bottomLeft" activeCell="B36" sqref="B36"/>
      <selection pane="bottomRight" activeCell="C6" sqref="C6"/>
    </sheetView>
  </sheetViews>
  <sheetFormatPr defaultRowHeight="12.75" x14ac:dyDescent="0.2"/>
  <cols>
    <col min="1" max="1" width="14.140625" bestFit="1" customWidth="1"/>
    <col min="2" max="2" width="23.140625" style="84" bestFit="1" customWidth="1"/>
    <col min="3" max="3" width="14.7109375" style="30" bestFit="1" customWidth="1"/>
    <col min="4" max="4" width="3.85546875" style="30" bestFit="1" customWidth="1"/>
    <col min="5" max="5" width="7.28515625" style="5" bestFit="1" customWidth="1"/>
    <col min="6" max="6" width="9.28515625" style="24" bestFit="1" customWidth="1"/>
    <col min="7" max="7" width="10.42578125" style="24" bestFit="1" customWidth="1"/>
    <col min="8" max="8" width="8.7109375" style="24" bestFit="1" customWidth="1"/>
    <col min="9" max="9" width="7.7109375" style="24" bestFit="1" customWidth="1"/>
    <col min="10" max="10" width="11.5703125" style="24" bestFit="1" customWidth="1"/>
    <col min="11" max="11" width="10.7109375" style="24" customWidth="1"/>
    <col min="12" max="39" width="10.7109375" customWidth="1"/>
    <col min="40" max="41" width="6.7109375" bestFit="1" customWidth="1"/>
    <col min="42" max="46" width="5.85546875" bestFit="1" customWidth="1"/>
    <col min="47" max="50" width="6.7109375" bestFit="1" customWidth="1"/>
    <col min="51" max="51" width="2.7109375" bestFit="1" customWidth="1"/>
  </cols>
  <sheetData>
    <row r="1" spans="1:51" ht="15.75" x14ac:dyDescent="0.25">
      <c r="A1" s="37" t="s">
        <v>44</v>
      </c>
      <c r="B1" s="102" t="s">
        <v>181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51" s="5" customFormat="1" ht="15" customHeight="1" x14ac:dyDescent="0.2">
      <c r="A2" s="39"/>
      <c r="B2" s="39"/>
      <c r="C2" s="39"/>
      <c r="D2" s="39"/>
      <c r="E2" s="39"/>
      <c r="F2" s="39"/>
      <c r="G2" s="39"/>
      <c r="H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</row>
    <row r="3" spans="1:51" s="2" customFormat="1" ht="74.25" x14ac:dyDescent="0.2">
      <c r="A3" s="114" t="s">
        <v>38</v>
      </c>
      <c r="B3" s="40" t="s">
        <v>7</v>
      </c>
      <c r="C3" s="40" t="s">
        <v>6</v>
      </c>
      <c r="D3" s="3" t="s">
        <v>15</v>
      </c>
      <c r="E3" s="3" t="s">
        <v>194</v>
      </c>
      <c r="F3" s="41" t="s">
        <v>182</v>
      </c>
      <c r="G3" s="42" t="s">
        <v>191</v>
      </c>
      <c r="H3" s="42" t="s">
        <v>183</v>
      </c>
      <c r="I3" s="104" t="s">
        <v>184</v>
      </c>
      <c r="J3" s="105" t="s">
        <v>192</v>
      </c>
      <c r="K3" s="41" t="s">
        <v>207</v>
      </c>
      <c r="L3" s="41" t="s">
        <v>208</v>
      </c>
      <c r="M3" s="41" t="s">
        <v>209</v>
      </c>
      <c r="N3" s="41" t="s">
        <v>210</v>
      </c>
      <c r="O3" s="41" t="s">
        <v>211</v>
      </c>
      <c r="P3" s="41" t="s">
        <v>212</v>
      </c>
      <c r="Q3" s="41" t="s">
        <v>213</v>
      </c>
      <c r="R3" s="41" t="s">
        <v>214</v>
      </c>
      <c r="S3" s="41" t="s">
        <v>215</v>
      </c>
      <c r="T3" s="41" t="s">
        <v>215</v>
      </c>
      <c r="U3" s="41" t="s">
        <v>215</v>
      </c>
      <c r="V3" s="41" t="s">
        <v>215</v>
      </c>
      <c r="W3" s="41" t="s">
        <v>215</v>
      </c>
      <c r="X3" s="41" t="s">
        <v>215</v>
      </c>
      <c r="Y3" s="41" t="s">
        <v>215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1:51" ht="13.5" thickBot="1" x14ac:dyDescent="0.25">
      <c r="A4" s="43"/>
      <c r="B4" s="43"/>
      <c r="C4" s="43"/>
      <c r="D4" s="43"/>
      <c r="E4" s="43"/>
      <c r="F4" s="106" t="s">
        <v>185</v>
      </c>
      <c r="G4" s="107" t="s">
        <v>50</v>
      </c>
      <c r="H4" s="107" t="s">
        <v>186</v>
      </c>
      <c r="I4" s="104" t="s">
        <v>187</v>
      </c>
      <c r="J4" s="104" t="s">
        <v>206</v>
      </c>
      <c r="K4" s="127"/>
      <c r="L4" s="127"/>
      <c r="M4" s="127"/>
      <c r="N4" s="127"/>
      <c r="O4" s="127"/>
      <c r="P4" s="127"/>
      <c r="Q4" s="12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</row>
    <row r="5" spans="1:51" ht="13.5" thickTop="1" x14ac:dyDescent="0.2">
      <c r="A5" s="9">
        <v>10050</v>
      </c>
      <c r="B5" s="9" t="s">
        <v>78</v>
      </c>
      <c r="C5" s="9" t="s">
        <v>73</v>
      </c>
      <c r="D5" s="29" t="s">
        <v>1</v>
      </c>
      <c r="E5" s="115" t="s">
        <v>195</v>
      </c>
      <c r="F5" s="75">
        <v>55055</v>
      </c>
      <c r="G5" s="36">
        <v>25318</v>
      </c>
      <c r="H5" s="108">
        <f t="shared" ref="H5:H68" si="0">F5/G5</f>
        <v>2.1745398530689628</v>
      </c>
      <c r="I5" s="109">
        <v>305.89999999999998</v>
      </c>
      <c r="J5" s="109">
        <v>180</v>
      </c>
      <c r="K5" s="128">
        <v>250</v>
      </c>
      <c r="L5" s="129" t="s">
        <v>216</v>
      </c>
      <c r="M5" s="130">
        <v>24044</v>
      </c>
      <c r="N5" s="130">
        <v>25305</v>
      </c>
      <c r="O5" s="130">
        <v>0</v>
      </c>
      <c r="P5" s="130">
        <v>25318</v>
      </c>
      <c r="Q5" s="130">
        <v>0</v>
      </c>
      <c r="R5" s="130" t="s">
        <v>217</v>
      </c>
      <c r="S5" s="131" t="s">
        <v>218</v>
      </c>
      <c r="T5" s="131"/>
      <c r="U5" s="131"/>
      <c r="V5" s="131"/>
      <c r="W5" s="131"/>
      <c r="X5" s="131"/>
      <c r="Y5" s="13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36"/>
    </row>
    <row r="6" spans="1:51" x14ac:dyDescent="0.2">
      <c r="A6" s="8">
        <v>10130</v>
      </c>
      <c r="B6" s="8" t="s">
        <v>79</v>
      </c>
      <c r="C6" s="8" t="s">
        <v>17</v>
      </c>
      <c r="D6" s="29" t="s">
        <v>1</v>
      </c>
      <c r="E6" s="115" t="s">
        <v>196</v>
      </c>
      <c r="F6" s="75">
        <v>29704</v>
      </c>
      <c r="G6" s="36">
        <v>12888</v>
      </c>
      <c r="H6" s="108">
        <f t="shared" si="0"/>
        <v>2.3047796399751705</v>
      </c>
      <c r="I6" s="109">
        <v>7809.4</v>
      </c>
      <c r="J6" s="109">
        <v>3.8</v>
      </c>
      <c r="K6" s="128">
        <v>400</v>
      </c>
      <c r="L6" s="129" t="s">
        <v>216</v>
      </c>
      <c r="M6" s="130">
        <v>10736</v>
      </c>
      <c r="N6" s="130">
        <v>10520</v>
      </c>
      <c r="O6" s="130">
        <v>0</v>
      </c>
      <c r="P6" s="130">
        <v>10680</v>
      </c>
      <c r="Q6" s="130">
        <v>0</v>
      </c>
      <c r="R6" s="130" t="s">
        <v>217</v>
      </c>
      <c r="S6" s="131" t="s">
        <v>219</v>
      </c>
      <c r="T6" s="131" t="s">
        <v>220</v>
      </c>
      <c r="U6" s="131" t="s">
        <v>221</v>
      </c>
      <c r="V6" s="131" t="s">
        <v>222</v>
      </c>
      <c r="W6" s="131" t="s">
        <v>223</v>
      </c>
      <c r="X6" s="131" t="s">
        <v>224</v>
      </c>
      <c r="Y6" s="131" t="s">
        <v>225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36"/>
    </row>
    <row r="7" spans="1:51" x14ac:dyDescent="0.2">
      <c r="A7" s="8">
        <v>10250</v>
      </c>
      <c r="B7" s="8" t="s">
        <v>80</v>
      </c>
      <c r="C7" s="8" t="s">
        <v>20</v>
      </c>
      <c r="D7" s="29" t="s">
        <v>4</v>
      </c>
      <c r="E7" s="115" t="s">
        <v>197</v>
      </c>
      <c r="F7" s="75">
        <v>45217</v>
      </c>
      <c r="G7" s="36">
        <v>19922</v>
      </c>
      <c r="H7" s="108">
        <f t="shared" si="0"/>
        <v>2.2697018371649431</v>
      </c>
      <c r="I7" s="109">
        <v>484.9</v>
      </c>
      <c r="J7" s="109">
        <v>93.2</v>
      </c>
      <c r="K7" s="128">
        <v>407</v>
      </c>
      <c r="L7" s="129" t="s">
        <v>216</v>
      </c>
      <c r="M7" s="130">
        <v>18740</v>
      </c>
      <c r="N7" s="130">
        <v>17191</v>
      </c>
      <c r="O7" s="130">
        <v>0</v>
      </c>
      <c r="P7" s="130">
        <v>14700</v>
      </c>
      <c r="Q7" s="130">
        <v>0</v>
      </c>
      <c r="R7" s="130" t="s">
        <v>217</v>
      </c>
      <c r="S7" s="131" t="s">
        <v>226</v>
      </c>
      <c r="T7" s="131"/>
      <c r="U7" s="131"/>
      <c r="V7" s="131"/>
      <c r="W7" s="131"/>
      <c r="X7" s="131"/>
      <c r="Y7" s="13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36"/>
    </row>
    <row r="8" spans="1:51" x14ac:dyDescent="0.2">
      <c r="A8" s="8">
        <v>10300</v>
      </c>
      <c r="B8" s="8" t="s">
        <v>81</v>
      </c>
      <c r="C8" s="8" t="s">
        <v>73</v>
      </c>
      <c r="D8" s="29" t="s">
        <v>1</v>
      </c>
      <c r="E8" s="115" t="s">
        <v>198</v>
      </c>
      <c r="F8" s="75">
        <v>2306</v>
      </c>
      <c r="G8" s="36">
        <v>1624</v>
      </c>
      <c r="H8" s="108">
        <f t="shared" si="0"/>
        <v>1.4199507389162562</v>
      </c>
      <c r="I8" s="109">
        <v>21690.7</v>
      </c>
      <c r="J8" s="109">
        <v>0.1</v>
      </c>
      <c r="K8" s="128">
        <v>355</v>
      </c>
      <c r="L8" s="129" t="s">
        <v>216</v>
      </c>
      <c r="M8" s="130">
        <v>721</v>
      </c>
      <c r="N8" s="130">
        <v>0</v>
      </c>
      <c r="O8" s="130">
        <v>0</v>
      </c>
      <c r="P8" s="130">
        <v>0</v>
      </c>
      <c r="Q8" s="130">
        <v>1624</v>
      </c>
      <c r="R8" s="130" t="s">
        <v>227</v>
      </c>
      <c r="S8" s="131"/>
      <c r="T8" s="131"/>
      <c r="U8" s="131"/>
      <c r="V8" s="131"/>
      <c r="W8" s="131"/>
      <c r="X8" s="131"/>
      <c r="Y8" s="13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36"/>
    </row>
    <row r="9" spans="1:51" x14ac:dyDescent="0.2">
      <c r="A9" s="8">
        <v>10470</v>
      </c>
      <c r="B9" s="8" t="s">
        <v>82</v>
      </c>
      <c r="C9" s="8" t="s">
        <v>42</v>
      </c>
      <c r="D9" s="29" t="s">
        <v>1</v>
      </c>
      <c r="E9" s="115" t="s">
        <v>199</v>
      </c>
      <c r="F9" s="75">
        <v>43996</v>
      </c>
      <c r="G9" s="36">
        <v>20082</v>
      </c>
      <c r="H9" s="108">
        <f t="shared" si="0"/>
        <v>2.190817647644657</v>
      </c>
      <c r="I9" s="109">
        <v>3817.9</v>
      </c>
      <c r="J9" s="109">
        <v>11.5</v>
      </c>
      <c r="K9" s="128">
        <v>432</v>
      </c>
      <c r="L9" s="129" t="s">
        <v>216</v>
      </c>
      <c r="M9" s="130">
        <v>15653</v>
      </c>
      <c r="N9" s="130">
        <v>15608</v>
      </c>
      <c r="O9" s="130">
        <v>0</v>
      </c>
      <c r="P9" s="130">
        <v>14213</v>
      </c>
      <c r="Q9" s="130">
        <v>0</v>
      </c>
      <c r="R9" s="130" t="s">
        <v>217</v>
      </c>
      <c r="S9" s="131" t="s">
        <v>228</v>
      </c>
      <c r="T9" s="131" t="s">
        <v>229</v>
      </c>
      <c r="U9" s="131" t="s">
        <v>230</v>
      </c>
      <c r="V9" s="131" t="s">
        <v>231</v>
      </c>
      <c r="W9" s="131" t="s">
        <v>232</v>
      </c>
      <c r="X9" s="131" t="s">
        <v>233</v>
      </c>
      <c r="Y9" s="13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36"/>
    </row>
    <row r="10" spans="1:51" x14ac:dyDescent="0.2">
      <c r="A10" s="8">
        <v>10500</v>
      </c>
      <c r="B10" s="8" t="s">
        <v>23</v>
      </c>
      <c r="C10" s="8" t="s">
        <v>18</v>
      </c>
      <c r="D10" s="29" t="s">
        <v>3</v>
      </c>
      <c r="E10" s="115"/>
      <c r="F10" s="75">
        <v>181472</v>
      </c>
      <c r="G10" s="36">
        <v>66666</v>
      </c>
      <c r="H10" s="108">
        <f t="shared" si="0"/>
        <v>2.7221072210722106</v>
      </c>
      <c r="I10" s="109">
        <v>49.9</v>
      </c>
      <c r="J10" s="109">
        <v>3637.4</v>
      </c>
      <c r="K10" s="128">
        <v>517.08000000000004</v>
      </c>
      <c r="L10" s="129" t="s">
        <v>216</v>
      </c>
      <c r="M10" s="130">
        <v>66666</v>
      </c>
      <c r="N10" s="130">
        <v>65966</v>
      </c>
      <c r="O10" s="130">
        <v>16102</v>
      </c>
      <c r="P10" s="130">
        <v>0</v>
      </c>
      <c r="Q10" s="130">
        <v>66666</v>
      </c>
      <c r="R10" s="130" t="s">
        <v>217</v>
      </c>
      <c r="S10" s="131" t="s">
        <v>234</v>
      </c>
      <c r="T10" s="131"/>
      <c r="U10" s="131"/>
      <c r="V10" s="131"/>
      <c r="W10" s="131"/>
      <c r="X10" s="131"/>
      <c r="Y10" s="13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36"/>
    </row>
    <row r="11" spans="1:51" x14ac:dyDescent="0.2">
      <c r="A11" s="8">
        <v>10550</v>
      </c>
      <c r="B11" s="8" t="s">
        <v>83</v>
      </c>
      <c r="C11" s="8" t="s">
        <v>74</v>
      </c>
      <c r="D11" s="29" t="s">
        <v>1</v>
      </c>
      <c r="E11" s="115" t="s">
        <v>74</v>
      </c>
      <c r="F11" s="75">
        <v>34727</v>
      </c>
      <c r="G11" s="36">
        <v>17575</v>
      </c>
      <c r="H11" s="108">
        <f t="shared" si="0"/>
        <v>1.975931721194879</v>
      </c>
      <c r="I11" s="109">
        <v>6278.9</v>
      </c>
      <c r="J11" s="109">
        <v>5.5</v>
      </c>
      <c r="K11" s="128">
        <v>613</v>
      </c>
      <c r="L11" s="129" t="s">
        <v>216</v>
      </c>
      <c r="M11" s="130">
        <v>12146</v>
      </c>
      <c r="N11" s="130">
        <v>12941</v>
      </c>
      <c r="O11" s="130">
        <v>0</v>
      </c>
      <c r="P11" s="130">
        <v>9112</v>
      </c>
      <c r="Q11" s="130">
        <v>0</v>
      </c>
      <c r="R11" s="130" t="s">
        <v>217</v>
      </c>
      <c r="S11" s="131" t="s">
        <v>235</v>
      </c>
      <c r="T11" s="131" t="s">
        <v>236</v>
      </c>
      <c r="U11" s="131" t="s">
        <v>237</v>
      </c>
      <c r="V11" s="131" t="s">
        <v>238</v>
      </c>
      <c r="W11" s="131" t="s">
        <v>239</v>
      </c>
      <c r="X11" s="131" t="s">
        <v>240</v>
      </c>
      <c r="Y11" s="13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36"/>
    </row>
    <row r="12" spans="1:51" x14ac:dyDescent="0.2">
      <c r="A12" s="8">
        <v>10600</v>
      </c>
      <c r="B12" s="8" t="s">
        <v>51</v>
      </c>
      <c r="C12" s="8" t="s">
        <v>43</v>
      </c>
      <c r="D12" s="29" t="s">
        <v>4</v>
      </c>
      <c r="E12" s="115" t="s">
        <v>200</v>
      </c>
      <c r="F12" s="75">
        <v>13141</v>
      </c>
      <c r="G12" s="36">
        <v>6000</v>
      </c>
      <c r="H12" s="108">
        <f t="shared" si="0"/>
        <v>2.1901666666666668</v>
      </c>
      <c r="I12" s="109">
        <v>1600.4</v>
      </c>
      <c r="J12" s="109">
        <v>8.1999999999999993</v>
      </c>
      <c r="K12" s="128">
        <v>764</v>
      </c>
      <c r="L12" s="129" t="s">
        <v>216</v>
      </c>
      <c r="M12" s="130">
        <v>4343</v>
      </c>
      <c r="N12" s="130">
        <v>4343</v>
      </c>
      <c r="O12" s="130">
        <v>0</v>
      </c>
      <c r="P12" s="130">
        <v>4343</v>
      </c>
      <c r="Q12" s="130">
        <v>6000</v>
      </c>
      <c r="R12" s="130" t="s">
        <v>227</v>
      </c>
      <c r="S12" s="131" t="s">
        <v>241</v>
      </c>
      <c r="T12" s="131" t="s">
        <v>242</v>
      </c>
      <c r="U12" s="131" t="s">
        <v>243</v>
      </c>
      <c r="V12" s="131"/>
      <c r="W12" s="131"/>
      <c r="X12" s="131"/>
      <c r="Y12" s="13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36"/>
    </row>
    <row r="13" spans="1:51" x14ac:dyDescent="0.2">
      <c r="A13" s="8">
        <v>10650</v>
      </c>
      <c r="B13" s="8" t="s">
        <v>84</v>
      </c>
      <c r="C13" s="8" t="s">
        <v>73</v>
      </c>
      <c r="D13" s="29" t="s">
        <v>1</v>
      </c>
      <c r="E13" s="115" t="s">
        <v>195</v>
      </c>
      <c r="F13" s="75">
        <v>8784</v>
      </c>
      <c r="G13" s="36">
        <v>5029</v>
      </c>
      <c r="H13" s="108">
        <f t="shared" si="0"/>
        <v>1.7466693179558561</v>
      </c>
      <c r="I13" s="109">
        <v>2065.8000000000002</v>
      </c>
      <c r="J13" s="109">
        <v>4.3</v>
      </c>
      <c r="K13" s="128">
        <v>322</v>
      </c>
      <c r="L13" s="129" t="s">
        <v>216</v>
      </c>
      <c r="M13" s="130">
        <v>4179</v>
      </c>
      <c r="N13" s="130">
        <v>3630</v>
      </c>
      <c r="O13" s="130">
        <v>0</v>
      </c>
      <c r="P13" s="130">
        <v>0</v>
      </c>
      <c r="Q13" s="130">
        <v>0</v>
      </c>
      <c r="R13" s="130" t="s">
        <v>217</v>
      </c>
      <c r="S13" s="131" t="s">
        <v>244</v>
      </c>
      <c r="T13" s="131" t="s">
        <v>245</v>
      </c>
      <c r="U13" s="131"/>
      <c r="V13" s="131"/>
      <c r="W13" s="131"/>
      <c r="X13" s="131"/>
      <c r="Y13" s="13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36"/>
    </row>
    <row r="14" spans="1:51" x14ac:dyDescent="0.2">
      <c r="A14" s="8">
        <v>10750</v>
      </c>
      <c r="B14" s="8" t="s">
        <v>52</v>
      </c>
      <c r="C14" s="8" t="s">
        <v>19</v>
      </c>
      <c r="D14" s="29" t="s">
        <v>3</v>
      </c>
      <c r="E14" s="115"/>
      <c r="F14" s="75">
        <v>382831</v>
      </c>
      <c r="G14" s="36">
        <v>144115</v>
      </c>
      <c r="H14" s="108">
        <f t="shared" si="0"/>
        <v>2.6564271588661832</v>
      </c>
      <c r="I14" s="109">
        <v>240</v>
      </c>
      <c r="J14" s="109">
        <v>1594.8</v>
      </c>
      <c r="K14" s="128">
        <v>589</v>
      </c>
      <c r="L14" s="129" t="s">
        <v>216</v>
      </c>
      <c r="M14" s="130">
        <v>140322</v>
      </c>
      <c r="N14" s="130">
        <v>128870</v>
      </c>
      <c r="O14" s="130">
        <v>0</v>
      </c>
      <c r="P14" s="130">
        <v>0</v>
      </c>
      <c r="Q14" s="130">
        <v>144115</v>
      </c>
      <c r="R14" s="130" t="s">
        <v>217</v>
      </c>
      <c r="S14" s="131" t="s">
        <v>246</v>
      </c>
      <c r="T14" s="131"/>
      <c r="U14" s="131"/>
      <c r="V14" s="131"/>
      <c r="W14" s="131"/>
      <c r="X14" s="131"/>
      <c r="Y14" s="13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36"/>
    </row>
    <row r="15" spans="1:51" x14ac:dyDescent="0.2">
      <c r="A15" s="8">
        <v>10800</v>
      </c>
      <c r="B15" s="8" t="s">
        <v>85</v>
      </c>
      <c r="C15" s="8" t="s">
        <v>22</v>
      </c>
      <c r="D15" s="29" t="s">
        <v>1</v>
      </c>
      <c r="E15" s="115" t="s">
        <v>201</v>
      </c>
      <c r="F15" s="75">
        <v>5937</v>
      </c>
      <c r="G15" s="36">
        <v>4515</v>
      </c>
      <c r="H15" s="108">
        <f t="shared" si="0"/>
        <v>1.3149501661129568</v>
      </c>
      <c r="I15" s="109">
        <v>8557.7000000000007</v>
      </c>
      <c r="J15" s="109">
        <v>0.7</v>
      </c>
      <c r="K15" s="128">
        <v>450</v>
      </c>
      <c r="L15" s="129" t="s">
        <v>216</v>
      </c>
      <c r="M15" s="130">
        <v>1889</v>
      </c>
      <c r="N15" s="130">
        <v>0</v>
      </c>
      <c r="O15" s="130">
        <v>0</v>
      </c>
      <c r="P15" s="130">
        <v>0</v>
      </c>
      <c r="Q15" s="130">
        <v>0</v>
      </c>
      <c r="R15" s="130" t="s">
        <v>217</v>
      </c>
      <c r="S15" s="131" t="s">
        <v>247</v>
      </c>
      <c r="T15" s="131"/>
      <c r="U15" s="131"/>
      <c r="V15" s="131"/>
      <c r="W15" s="131"/>
      <c r="X15" s="131"/>
      <c r="Y15" s="13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36"/>
    </row>
    <row r="16" spans="1:51" x14ac:dyDescent="0.2">
      <c r="A16" s="8">
        <v>10850</v>
      </c>
      <c r="B16" s="8" t="s">
        <v>86</v>
      </c>
      <c r="C16" s="8" t="s">
        <v>42</v>
      </c>
      <c r="D16" s="29" t="s">
        <v>1</v>
      </c>
      <c r="E16" s="115" t="s">
        <v>199</v>
      </c>
      <c r="F16" s="75">
        <v>7382</v>
      </c>
      <c r="G16" s="36">
        <v>4157</v>
      </c>
      <c r="H16" s="108">
        <f t="shared" si="0"/>
        <v>1.7757998556651431</v>
      </c>
      <c r="I16" s="109">
        <v>1524.6</v>
      </c>
      <c r="J16" s="109">
        <v>4.8</v>
      </c>
      <c r="K16" s="128">
        <v>340</v>
      </c>
      <c r="L16" s="129" t="s">
        <v>216</v>
      </c>
      <c r="M16" s="130">
        <v>2699</v>
      </c>
      <c r="N16" s="130">
        <v>2699</v>
      </c>
      <c r="O16" s="130">
        <v>0</v>
      </c>
      <c r="P16" s="130">
        <v>0</v>
      </c>
      <c r="Q16" s="130">
        <v>4157</v>
      </c>
      <c r="R16" s="130" t="s">
        <v>217</v>
      </c>
      <c r="S16" s="131" t="s">
        <v>248</v>
      </c>
      <c r="T16" s="131"/>
      <c r="U16" s="131"/>
      <c r="V16" s="131"/>
      <c r="W16" s="131"/>
      <c r="X16" s="131"/>
      <c r="Y16" s="13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36"/>
    </row>
    <row r="17" spans="1:51" x14ac:dyDescent="0.2">
      <c r="A17" s="8">
        <v>10900</v>
      </c>
      <c r="B17" s="8" t="s">
        <v>87</v>
      </c>
      <c r="C17" s="8" t="s">
        <v>19</v>
      </c>
      <c r="D17" s="29" t="s">
        <v>4</v>
      </c>
      <c r="E17" s="115"/>
      <c r="F17" s="75">
        <v>79195</v>
      </c>
      <c r="G17" s="36">
        <v>38668</v>
      </c>
      <c r="H17" s="108">
        <f t="shared" si="0"/>
        <v>2.0480759284162615</v>
      </c>
      <c r="I17" s="109">
        <v>1431.1</v>
      </c>
      <c r="J17" s="109">
        <v>55.3</v>
      </c>
      <c r="K17" s="128">
        <v>439</v>
      </c>
      <c r="L17" s="129" t="s">
        <v>216</v>
      </c>
      <c r="M17" s="130">
        <v>33684</v>
      </c>
      <c r="N17" s="130">
        <v>31953</v>
      </c>
      <c r="O17" s="130">
        <v>33533</v>
      </c>
      <c r="P17" s="130">
        <v>0</v>
      </c>
      <c r="Q17" s="130">
        <v>38668</v>
      </c>
      <c r="R17" s="130" t="s">
        <v>217</v>
      </c>
      <c r="S17" s="131" t="s">
        <v>249</v>
      </c>
      <c r="T17" s="131" t="s">
        <v>250</v>
      </c>
      <c r="U17" s="131"/>
      <c r="V17" s="131"/>
      <c r="W17" s="131"/>
      <c r="X17" s="131"/>
      <c r="Y17" s="13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36"/>
    </row>
    <row r="18" spans="1:51" x14ac:dyDescent="0.2">
      <c r="A18" s="8">
        <v>10950</v>
      </c>
      <c r="B18" s="8" t="s">
        <v>88</v>
      </c>
      <c r="C18" s="8" t="s">
        <v>42</v>
      </c>
      <c r="D18" s="29" t="s">
        <v>1</v>
      </c>
      <c r="E18" s="115" t="s">
        <v>202</v>
      </c>
      <c r="F18" s="75">
        <v>2529</v>
      </c>
      <c r="G18" s="36">
        <v>2116</v>
      </c>
      <c r="H18" s="108">
        <f t="shared" si="0"/>
        <v>1.1951795841209829</v>
      </c>
      <c r="I18" s="109">
        <v>14599.9</v>
      </c>
      <c r="J18" s="109">
        <v>0.2</v>
      </c>
      <c r="K18" s="128">
        <v>501</v>
      </c>
      <c r="L18" s="129" t="s">
        <v>216</v>
      </c>
      <c r="M18" s="130">
        <v>1040</v>
      </c>
      <c r="N18" s="130">
        <v>1098</v>
      </c>
      <c r="O18" s="130">
        <v>0</v>
      </c>
      <c r="P18" s="130">
        <v>0</v>
      </c>
      <c r="Q18" s="130">
        <v>0</v>
      </c>
      <c r="R18" s="130" t="s">
        <v>217</v>
      </c>
      <c r="S18" s="131" t="s">
        <v>251</v>
      </c>
      <c r="T18" s="131"/>
      <c r="U18" s="131"/>
      <c r="V18" s="131"/>
      <c r="W18" s="131"/>
      <c r="X18" s="131"/>
      <c r="Y18" s="13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36"/>
    </row>
    <row r="19" spans="1:51" x14ac:dyDescent="0.2">
      <c r="A19" s="8">
        <v>11150</v>
      </c>
      <c r="B19" s="8" t="s">
        <v>89</v>
      </c>
      <c r="C19" s="8" t="s">
        <v>42</v>
      </c>
      <c r="D19" s="29" t="s">
        <v>1</v>
      </c>
      <c r="E19" s="115" t="s">
        <v>203</v>
      </c>
      <c r="F19" s="75">
        <v>2625</v>
      </c>
      <c r="G19" s="36">
        <v>1039</v>
      </c>
      <c r="H19" s="108">
        <f t="shared" si="0"/>
        <v>2.5264677574590952</v>
      </c>
      <c r="I19" s="109">
        <v>41599.5</v>
      </c>
      <c r="J19" s="109">
        <v>0.1</v>
      </c>
      <c r="K19" s="128">
        <v>285</v>
      </c>
      <c r="L19" s="129" t="s">
        <v>216</v>
      </c>
      <c r="M19" s="130">
        <v>974</v>
      </c>
      <c r="N19" s="130">
        <v>0</v>
      </c>
      <c r="O19" s="130">
        <v>0</v>
      </c>
      <c r="P19" s="130">
        <v>0</v>
      </c>
      <c r="Q19" s="130">
        <v>0</v>
      </c>
      <c r="R19" s="130" t="s">
        <v>217</v>
      </c>
      <c r="S19" s="131" t="s">
        <v>252</v>
      </c>
      <c r="T19" s="131" t="s">
        <v>253</v>
      </c>
      <c r="U19" s="131" t="s">
        <v>254</v>
      </c>
      <c r="V19" s="131" t="s">
        <v>255</v>
      </c>
      <c r="W19" s="131" t="s">
        <v>256</v>
      </c>
      <c r="X19" s="131" t="s">
        <v>257</v>
      </c>
      <c r="Y19" s="13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36"/>
    </row>
    <row r="20" spans="1:51" x14ac:dyDescent="0.2">
      <c r="A20" s="8">
        <v>11200</v>
      </c>
      <c r="B20" s="8" t="s">
        <v>90</v>
      </c>
      <c r="C20" s="8" t="s">
        <v>42</v>
      </c>
      <c r="D20" s="29" t="s">
        <v>1</v>
      </c>
      <c r="E20" s="115"/>
      <c r="F20" s="75">
        <v>1553</v>
      </c>
      <c r="G20" s="36">
        <v>725</v>
      </c>
      <c r="H20" s="108">
        <f t="shared" si="0"/>
        <v>2.1420689655172414</v>
      </c>
      <c r="I20" s="109">
        <v>19163.5</v>
      </c>
      <c r="J20" s="109">
        <v>0.1</v>
      </c>
      <c r="K20" s="128">
        <v>454</v>
      </c>
      <c r="L20" s="129" t="s">
        <v>216</v>
      </c>
      <c r="M20" s="130">
        <v>665</v>
      </c>
      <c r="N20" s="130">
        <v>0</v>
      </c>
      <c r="O20" s="130">
        <v>0</v>
      </c>
      <c r="P20" s="130">
        <v>0</v>
      </c>
      <c r="Q20" s="130">
        <v>725</v>
      </c>
      <c r="R20" s="130" t="s">
        <v>217</v>
      </c>
      <c r="S20" s="131" t="s">
        <v>258</v>
      </c>
      <c r="T20" s="131" t="s">
        <v>259</v>
      </c>
      <c r="U20" s="131" t="s">
        <v>260</v>
      </c>
      <c r="V20" s="131" t="s">
        <v>261</v>
      </c>
      <c r="W20" s="131"/>
      <c r="X20" s="131"/>
      <c r="Y20" s="13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36"/>
    </row>
    <row r="21" spans="1:51" x14ac:dyDescent="0.2">
      <c r="A21" s="8">
        <v>11250</v>
      </c>
      <c r="B21" s="8" t="s">
        <v>91</v>
      </c>
      <c r="C21" s="8" t="s">
        <v>42</v>
      </c>
      <c r="D21" s="29" t="s">
        <v>1</v>
      </c>
      <c r="E21" s="115" t="s">
        <v>198</v>
      </c>
      <c r="F21" s="75">
        <v>17269</v>
      </c>
      <c r="G21" s="36">
        <v>10574</v>
      </c>
      <c r="H21" s="108">
        <f t="shared" si="0"/>
        <v>1.6331567996973708</v>
      </c>
      <c r="I21" s="109">
        <v>170.1</v>
      </c>
      <c r="J21" s="109">
        <v>101.5</v>
      </c>
      <c r="K21" s="128">
        <v>51</v>
      </c>
      <c r="L21" s="129" t="s">
        <v>216</v>
      </c>
      <c r="M21" s="130">
        <v>9175</v>
      </c>
      <c r="N21" s="130">
        <v>0</v>
      </c>
      <c r="O21" s="130">
        <v>0</v>
      </c>
      <c r="P21" s="130">
        <v>9230</v>
      </c>
      <c r="Q21" s="130">
        <v>0</v>
      </c>
      <c r="R21" s="130" t="s">
        <v>217</v>
      </c>
      <c r="S21" s="131" t="s">
        <v>262</v>
      </c>
      <c r="T21" s="131"/>
      <c r="U21" s="131"/>
      <c r="V21" s="131"/>
      <c r="W21" s="131"/>
      <c r="X21" s="131"/>
      <c r="Y21" s="13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36"/>
    </row>
    <row r="22" spans="1:51" x14ac:dyDescent="0.2">
      <c r="A22" s="8">
        <v>11300</v>
      </c>
      <c r="B22" s="8" t="s">
        <v>92</v>
      </c>
      <c r="C22" s="8" t="s">
        <v>18</v>
      </c>
      <c r="D22" s="29" t="s">
        <v>3</v>
      </c>
      <c r="E22" s="115"/>
      <c r="F22" s="75">
        <v>40866</v>
      </c>
      <c r="G22" s="36">
        <v>14361</v>
      </c>
      <c r="H22" s="108">
        <f t="shared" si="0"/>
        <v>2.8456235638186755</v>
      </c>
      <c r="I22" s="109">
        <v>7.1</v>
      </c>
      <c r="J22" s="109">
        <v>5733.1</v>
      </c>
      <c r="K22" s="128">
        <v>419.5</v>
      </c>
      <c r="L22" s="129" t="s">
        <v>216</v>
      </c>
      <c r="M22" s="130">
        <v>14190</v>
      </c>
      <c r="N22" s="130">
        <v>14361</v>
      </c>
      <c r="O22" s="130">
        <v>14361</v>
      </c>
      <c r="P22" s="130">
        <v>0</v>
      </c>
      <c r="Q22" s="130">
        <v>14361</v>
      </c>
      <c r="R22" s="130" t="s">
        <v>217</v>
      </c>
      <c r="S22" s="131" t="s">
        <v>263</v>
      </c>
      <c r="T22" s="131"/>
      <c r="U22" s="131"/>
      <c r="V22" s="131"/>
      <c r="W22" s="131"/>
      <c r="X22" s="131"/>
      <c r="Y22" s="13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36"/>
    </row>
    <row r="23" spans="1:51" x14ac:dyDescent="0.2">
      <c r="A23" s="8">
        <v>11350</v>
      </c>
      <c r="B23" s="8" t="s">
        <v>93</v>
      </c>
      <c r="C23" s="8" t="s">
        <v>20</v>
      </c>
      <c r="D23" s="29" t="s">
        <v>4</v>
      </c>
      <c r="E23" s="115" t="s">
        <v>197</v>
      </c>
      <c r="F23" s="75">
        <v>35773</v>
      </c>
      <c r="G23" s="36">
        <v>14537</v>
      </c>
      <c r="H23" s="108">
        <f t="shared" si="0"/>
        <v>2.4608241040104559</v>
      </c>
      <c r="I23" s="109">
        <v>565.79999999999995</v>
      </c>
      <c r="J23" s="109">
        <v>63.2</v>
      </c>
      <c r="K23" s="128">
        <v>402</v>
      </c>
      <c r="L23" s="129" t="s">
        <v>216</v>
      </c>
      <c r="M23" s="130">
        <v>14175</v>
      </c>
      <c r="N23" s="130">
        <v>14109</v>
      </c>
      <c r="O23" s="130">
        <v>0</v>
      </c>
      <c r="P23" s="130">
        <v>10866</v>
      </c>
      <c r="Q23" s="130">
        <v>14537</v>
      </c>
      <c r="R23" s="130" t="s">
        <v>217</v>
      </c>
      <c r="S23" s="131" t="s">
        <v>264</v>
      </c>
      <c r="T23" s="131"/>
      <c r="U23" s="131"/>
      <c r="V23" s="131"/>
      <c r="W23" s="131"/>
      <c r="X23" s="131"/>
      <c r="Y23" s="13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36"/>
    </row>
    <row r="24" spans="1:51" x14ac:dyDescent="0.2">
      <c r="A24" s="8">
        <v>11400</v>
      </c>
      <c r="B24" s="8" t="s">
        <v>94</v>
      </c>
      <c r="C24" s="8" t="s">
        <v>42</v>
      </c>
      <c r="D24" s="29" t="s">
        <v>1</v>
      </c>
      <c r="E24" s="115" t="s">
        <v>199</v>
      </c>
      <c r="F24" s="75">
        <v>13677</v>
      </c>
      <c r="G24" s="36">
        <v>7436</v>
      </c>
      <c r="H24" s="108">
        <f t="shared" si="0"/>
        <v>1.8392953200645508</v>
      </c>
      <c r="I24" s="109">
        <v>6022.3</v>
      </c>
      <c r="J24" s="109">
        <v>2.2999999999999998</v>
      </c>
      <c r="K24" s="128">
        <v>397.4</v>
      </c>
      <c r="L24" s="129" t="s">
        <v>216</v>
      </c>
      <c r="M24" s="130">
        <v>3691</v>
      </c>
      <c r="N24" s="130">
        <v>3691</v>
      </c>
      <c r="O24" s="130">
        <v>0</v>
      </c>
      <c r="P24" s="130">
        <v>0</v>
      </c>
      <c r="Q24" s="130">
        <v>7436</v>
      </c>
      <c r="R24" s="130" t="s">
        <v>217</v>
      </c>
      <c r="S24" s="131" t="s">
        <v>265</v>
      </c>
      <c r="T24" s="131" t="s">
        <v>266</v>
      </c>
      <c r="U24" s="131" t="s">
        <v>267</v>
      </c>
      <c r="V24" s="131" t="s">
        <v>268</v>
      </c>
      <c r="W24" s="131"/>
      <c r="X24" s="131"/>
      <c r="Y24" s="13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36"/>
    </row>
    <row r="25" spans="1:51" x14ac:dyDescent="0.2">
      <c r="A25" s="8">
        <v>11450</v>
      </c>
      <c r="B25" s="8" t="s">
        <v>76</v>
      </c>
      <c r="C25" s="8" t="s">
        <v>193</v>
      </c>
      <c r="D25" s="29" t="s">
        <v>3</v>
      </c>
      <c r="E25" s="115"/>
      <c r="F25" s="75">
        <v>107806</v>
      </c>
      <c r="G25" s="36">
        <v>41645</v>
      </c>
      <c r="H25" s="108">
        <f t="shared" si="0"/>
        <v>2.5886901188618081</v>
      </c>
      <c r="I25" s="109">
        <v>201</v>
      </c>
      <c r="J25" s="109">
        <v>536.29999999999995</v>
      </c>
      <c r="K25" s="128">
        <v>373</v>
      </c>
      <c r="L25" s="129" t="s">
        <v>216</v>
      </c>
      <c r="M25" s="130">
        <v>37853</v>
      </c>
      <c r="N25" s="130">
        <v>35715</v>
      </c>
      <c r="O25" s="130">
        <v>35715</v>
      </c>
      <c r="P25" s="130">
        <v>0</v>
      </c>
      <c r="Q25" s="130">
        <v>41645</v>
      </c>
      <c r="R25" s="130" t="s">
        <v>217</v>
      </c>
      <c r="S25" s="131" t="s">
        <v>269</v>
      </c>
      <c r="T25" s="131" t="s">
        <v>270</v>
      </c>
      <c r="U25" s="131" t="s">
        <v>271</v>
      </c>
      <c r="V25" s="131" t="s">
        <v>272</v>
      </c>
      <c r="W25" s="131" t="s">
        <v>273</v>
      </c>
      <c r="X25" s="131" t="s">
        <v>269</v>
      </c>
      <c r="Y25" s="131" t="s">
        <v>269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36"/>
    </row>
    <row r="26" spans="1:51" x14ac:dyDescent="0.2">
      <c r="A26" s="8">
        <v>11500</v>
      </c>
      <c r="B26" s="8" t="s">
        <v>53</v>
      </c>
      <c r="C26" s="8" t="s">
        <v>193</v>
      </c>
      <c r="D26" s="29" t="s">
        <v>3</v>
      </c>
      <c r="E26" s="115"/>
      <c r="F26" s="75">
        <v>174078</v>
      </c>
      <c r="G26" s="36">
        <v>63675</v>
      </c>
      <c r="H26" s="108">
        <f t="shared" si="0"/>
        <v>2.7338515901060072</v>
      </c>
      <c r="I26" s="109">
        <v>311.89999999999998</v>
      </c>
      <c r="J26" s="109">
        <v>558.1</v>
      </c>
      <c r="K26" s="128">
        <v>357.52</v>
      </c>
      <c r="L26" s="129" t="s">
        <v>216</v>
      </c>
      <c r="M26" s="130">
        <v>59508</v>
      </c>
      <c r="N26" s="130">
        <v>59508</v>
      </c>
      <c r="O26" s="130">
        <v>57935</v>
      </c>
      <c r="P26" s="130">
        <v>0</v>
      </c>
      <c r="Q26" s="130">
        <v>63675</v>
      </c>
      <c r="R26" s="130" t="s">
        <v>217</v>
      </c>
      <c r="S26" s="131"/>
      <c r="T26" s="131"/>
      <c r="U26" s="131"/>
      <c r="V26" s="131"/>
      <c r="W26" s="131"/>
      <c r="X26" s="131"/>
      <c r="Y26" s="13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36"/>
    </row>
    <row r="27" spans="1:51" x14ac:dyDescent="0.2">
      <c r="A27" s="8">
        <v>11520</v>
      </c>
      <c r="B27" s="8" t="s">
        <v>95</v>
      </c>
      <c r="C27" s="8" t="s">
        <v>18</v>
      </c>
      <c r="D27" s="29" t="s">
        <v>3</v>
      </c>
      <c r="E27" s="115"/>
      <c r="F27" s="75">
        <v>96550</v>
      </c>
      <c r="G27" s="36">
        <v>38344</v>
      </c>
      <c r="H27" s="108">
        <f t="shared" si="0"/>
        <v>2.5179949926976843</v>
      </c>
      <c r="I27" s="109">
        <v>19.899999999999999</v>
      </c>
      <c r="J27" s="109">
        <v>4846.1000000000004</v>
      </c>
      <c r="K27" s="128">
        <v>425</v>
      </c>
      <c r="L27" s="129" t="s">
        <v>216</v>
      </c>
      <c r="M27" s="130">
        <v>37257</v>
      </c>
      <c r="N27" s="130">
        <v>38344</v>
      </c>
      <c r="O27" s="130">
        <v>38344</v>
      </c>
      <c r="P27" s="130">
        <v>0</v>
      </c>
      <c r="Q27" s="130">
        <v>38344</v>
      </c>
      <c r="R27" s="130" t="s">
        <v>217</v>
      </c>
      <c r="S27" s="131" t="s">
        <v>274</v>
      </c>
      <c r="T27" s="131"/>
      <c r="U27" s="131"/>
      <c r="V27" s="131"/>
      <c r="W27" s="131"/>
      <c r="X27" s="131"/>
      <c r="Y27" s="13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36"/>
    </row>
    <row r="28" spans="1:51" x14ac:dyDescent="0.2">
      <c r="A28" s="8">
        <v>11570</v>
      </c>
      <c r="B28" s="8" t="s">
        <v>96</v>
      </c>
      <c r="C28" s="8" t="s">
        <v>18</v>
      </c>
      <c r="D28" s="29" t="s">
        <v>3</v>
      </c>
      <c r="E28" s="115"/>
      <c r="F28" s="75">
        <v>380406</v>
      </c>
      <c r="G28" s="36">
        <v>137601</v>
      </c>
      <c r="H28" s="108">
        <f t="shared" si="0"/>
        <v>2.7645583971046723</v>
      </c>
      <c r="I28" s="109">
        <v>110.2</v>
      </c>
      <c r="J28" s="109">
        <v>3450.8</v>
      </c>
      <c r="K28" s="128">
        <v>565</v>
      </c>
      <c r="L28" s="129" t="s">
        <v>216</v>
      </c>
      <c r="M28" s="130">
        <v>129115</v>
      </c>
      <c r="N28" s="130">
        <v>129115</v>
      </c>
      <c r="O28" s="130">
        <v>93102</v>
      </c>
      <c r="P28" s="130">
        <v>0</v>
      </c>
      <c r="Q28" s="130">
        <v>137601</v>
      </c>
      <c r="R28" s="130" t="s">
        <v>217</v>
      </c>
      <c r="S28" s="131"/>
      <c r="T28" s="131"/>
      <c r="U28" s="131"/>
      <c r="V28" s="131"/>
      <c r="W28" s="131"/>
      <c r="X28" s="131"/>
      <c r="Y28" s="13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36"/>
    </row>
    <row r="29" spans="1:51" x14ac:dyDescent="0.2">
      <c r="A29" s="8">
        <v>11600</v>
      </c>
      <c r="B29" s="8" t="s">
        <v>97</v>
      </c>
      <c r="C29" s="8" t="s">
        <v>75</v>
      </c>
      <c r="D29" s="29" t="s">
        <v>1</v>
      </c>
      <c r="E29" s="115" t="s">
        <v>195</v>
      </c>
      <c r="F29" s="75">
        <v>2796</v>
      </c>
      <c r="G29" s="36">
        <v>1343</v>
      </c>
      <c r="H29" s="108">
        <f t="shared" si="0"/>
        <v>2.0819061801935965</v>
      </c>
      <c r="I29" s="109">
        <v>18934.5</v>
      </c>
      <c r="J29" s="109">
        <v>0.1</v>
      </c>
      <c r="K29" s="128">
        <v>203</v>
      </c>
      <c r="L29" s="129" t="s">
        <v>216</v>
      </c>
      <c r="M29" s="130">
        <v>608</v>
      </c>
      <c r="N29" s="130">
        <v>0</v>
      </c>
      <c r="O29" s="130">
        <v>0</v>
      </c>
      <c r="P29" s="130">
        <v>0</v>
      </c>
      <c r="Q29" s="130">
        <v>0</v>
      </c>
      <c r="R29" s="130" t="s">
        <v>227</v>
      </c>
      <c r="S29" s="131"/>
      <c r="T29" s="131"/>
      <c r="U29" s="131"/>
      <c r="V29" s="131"/>
      <c r="W29" s="131"/>
      <c r="X29" s="131"/>
      <c r="Y29" s="13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36"/>
    </row>
    <row r="30" spans="1:51" x14ac:dyDescent="0.2">
      <c r="A30" s="8">
        <v>11650</v>
      </c>
      <c r="B30" s="8" t="s">
        <v>98</v>
      </c>
      <c r="C30" s="8" t="s">
        <v>25</v>
      </c>
      <c r="D30" s="29" t="s">
        <v>2</v>
      </c>
      <c r="E30" s="115"/>
      <c r="F30" s="75">
        <v>345809</v>
      </c>
      <c r="G30" s="36">
        <v>134461</v>
      </c>
      <c r="H30" s="108">
        <f t="shared" si="0"/>
        <v>2.5718163631090056</v>
      </c>
      <c r="I30" s="109">
        <v>1681.1</v>
      </c>
      <c r="J30" s="109">
        <v>205.7</v>
      </c>
      <c r="K30" s="128">
        <v>512</v>
      </c>
      <c r="L30" s="129" t="s">
        <v>216</v>
      </c>
      <c r="M30" s="130">
        <v>134461</v>
      </c>
      <c r="N30" s="130">
        <v>128460</v>
      </c>
      <c r="O30" s="130">
        <v>124758</v>
      </c>
      <c r="P30" s="130">
        <v>0</v>
      </c>
      <c r="Q30" s="130">
        <v>134461</v>
      </c>
      <c r="R30" s="130" t="s">
        <v>217</v>
      </c>
      <c r="S30" s="131" t="s">
        <v>275</v>
      </c>
      <c r="T30" s="131" t="s">
        <v>276</v>
      </c>
      <c r="U30" s="131"/>
      <c r="V30" s="131"/>
      <c r="W30" s="131"/>
      <c r="X30" s="131"/>
      <c r="Y30" s="13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36"/>
    </row>
    <row r="31" spans="1:51" x14ac:dyDescent="0.2">
      <c r="A31" s="8">
        <v>11700</v>
      </c>
      <c r="B31" s="8" t="s">
        <v>99</v>
      </c>
      <c r="C31" s="8" t="s">
        <v>42</v>
      </c>
      <c r="D31" s="29" t="s">
        <v>1</v>
      </c>
      <c r="E31" s="115" t="s">
        <v>198</v>
      </c>
      <c r="F31" s="75">
        <v>1829</v>
      </c>
      <c r="G31" s="36">
        <v>1953</v>
      </c>
      <c r="H31" s="108">
        <f t="shared" si="0"/>
        <v>0.93650793650793651</v>
      </c>
      <c r="I31" s="109">
        <v>53492.2</v>
      </c>
      <c r="J31" s="109">
        <v>0</v>
      </c>
      <c r="K31" s="128">
        <v>617</v>
      </c>
      <c r="L31" s="129" t="s">
        <v>216</v>
      </c>
      <c r="M31" s="130">
        <v>719</v>
      </c>
      <c r="N31" s="130">
        <v>0</v>
      </c>
      <c r="O31" s="130">
        <v>0</v>
      </c>
      <c r="P31" s="130">
        <v>0</v>
      </c>
      <c r="Q31" s="130">
        <v>0</v>
      </c>
      <c r="R31" s="130" t="s">
        <v>217</v>
      </c>
      <c r="S31" s="131" t="s">
        <v>277</v>
      </c>
      <c r="T31" s="131" t="s">
        <v>278</v>
      </c>
      <c r="U31" s="131" t="s">
        <v>279</v>
      </c>
      <c r="V31" s="131" t="s">
        <v>280</v>
      </c>
      <c r="W31" s="131" t="s">
        <v>281</v>
      </c>
      <c r="X31" s="131" t="s">
        <v>282</v>
      </c>
      <c r="Y31" s="13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36"/>
    </row>
    <row r="32" spans="1:51" x14ac:dyDescent="0.2">
      <c r="A32" s="8">
        <v>11720</v>
      </c>
      <c r="B32" s="8" t="s">
        <v>100</v>
      </c>
      <c r="C32" s="8" t="s">
        <v>25</v>
      </c>
      <c r="D32" s="29" t="s">
        <v>2</v>
      </c>
      <c r="E32" s="115" t="s">
        <v>204</v>
      </c>
      <c r="F32" s="75">
        <v>61256</v>
      </c>
      <c r="G32" s="36">
        <v>28478</v>
      </c>
      <c r="H32" s="108">
        <f t="shared" si="0"/>
        <v>2.1509937495610645</v>
      </c>
      <c r="I32" s="109">
        <v>1965.2</v>
      </c>
      <c r="J32" s="109">
        <v>31.2</v>
      </c>
      <c r="K32" s="128">
        <v>599</v>
      </c>
      <c r="L32" s="129" t="s">
        <v>216</v>
      </c>
      <c r="M32" s="130">
        <v>23719</v>
      </c>
      <c r="N32" s="130">
        <v>23965</v>
      </c>
      <c r="O32" s="130">
        <v>23834</v>
      </c>
      <c r="P32" s="130">
        <v>0</v>
      </c>
      <c r="Q32" s="130">
        <v>0</v>
      </c>
      <c r="R32" s="130" t="s">
        <v>217</v>
      </c>
      <c r="S32" s="131" t="s">
        <v>283</v>
      </c>
      <c r="T32" s="131"/>
      <c r="U32" s="131"/>
      <c r="V32" s="131"/>
      <c r="W32" s="131"/>
      <c r="X32" s="131"/>
      <c r="Y32" s="13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36"/>
    </row>
    <row r="33" spans="1:51" x14ac:dyDescent="0.2">
      <c r="A33" s="8">
        <v>11730</v>
      </c>
      <c r="B33" s="8" t="s">
        <v>101</v>
      </c>
      <c r="C33" s="8" t="s">
        <v>20</v>
      </c>
      <c r="D33" s="29" t="s">
        <v>4</v>
      </c>
      <c r="E33" s="115"/>
      <c r="F33" s="75">
        <v>51730</v>
      </c>
      <c r="G33" s="36">
        <v>26792</v>
      </c>
      <c r="H33" s="108">
        <f t="shared" si="0"/>
        <v>1.9308002388772767</v>
      </c>
      <c r="I33" s="109">
        <v>10428.700000000001</v>
      </c>
      <c r="J33" s="109">
        <v>5</v>
      </c>
      <c r="K33" s="128">
        <v>344.5</v>
      </c>
      <c r="L33" s="129" t="s">
        <v>216</v>
      </c>
      <c r="M33" s="130">
        <v>22713</v>
      </c>
      <c r="N33" s="130">
        <v>22282</v>
      </c>
      <c r="O33" s="130">
        <v>0</v>
      </c>
      <c r="P33" s="130">
        <v>18212</v>
      </c>
      <c r="Q33" s="130">
        <v>26792</v>
      </c>
      <c r="R33" s="130" t="s">
        <v>217</v>
      </c>
      <c r="S33" s="131" t="s">
        <v>284</v>
      </c>
      <c r="T33" s="131" t="s">
        <v>285</v>
      </c>
      <c r="U33" s="131" t="s">
        <v>286</v>
      </c>
      <c r="V33" s="131" t="s">
        <v>287</v>
      </c>
      <c r="W33" s="131" t="s">
        <v>288</v>
      </c>
      <c r="X33" s="131" t="s">
        <v>289</v>
      </c>
      <c r="Y33" s="131" t="s">
        <v>290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36"/>
    </row>
    <row r="34" spans="1:51" x14ac:dyDescent="0.2">
      <c r="A34" s="8">
        <v>11750</v>
      </c>
      <c r="B34" s="8" t="s">
        <v>102</v>
      </c>
      <c r="C34" s="8" t="s">
        <v>42</v>
      </c>
      <c r="D34" s="29" t="s">
        <v>1</v>
      </c>
      <c r="E34" s="115" t="s">
        <v>203</v>
      </c>
      <c r="F34" s="75">
        <v>4417</v>
      </c>
      <c r="G34" s="36">
        <v>2887</v>
      </c>
      <c r="H34" s="108">
        <f t="shared" si="0"/>
        <v>1.5299618981641843</v>
      </c>
      <c r="I34" s="109">
        <v>45575.4</v>
      </c>
      <c r="J34" s="109">
        <v>0.1</v>
      </c>
      <c r="K34" s="128">
        <v>252</v>
      </c>
      <c r="L34" s="129" t="s">
        <v>216</v>
      </c>
      <c r="M34" s="130">
        <v>1763</v>
      </c>
      <c r="N34" s="130">
        <v>0</v>
      </c>
      <c r="O34" s="130">
        <v>0</v>
      </c>
      <c r="P34" s="130">
        <v>0</v>
      </c>
      <c r="Q34" s="130">
        <v>0</v>
      </c>
      <c r="R34" s="130" t="s">
        <v>217</v>
      </c>
      <c r="S34" s="131" t="s">
        <v>291</v>
      </c>
      <c r="T34" s="131" t="s">
        <v>292</v>
      </c>
      <c r="U34" s="131" t="s">
        <v>293</v>
      </c>
      <c r="V34" s="131" t="s">
        <v>294</v>
      </c>
      <c r="W34" s="131" t="s">
        <v>295</v>
      </c>
      <c r="X34" s="131" t="s">
        <v>296</v>
      </c>
      <c r="Y34" s="13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36"/>
    </row>
    <row r="35" spans="1:51" x14ac:dyDescent="0.2">
      <c r="A35" s="8">
        <v>11800</v>
      </c>
      <c r="B35" s="8" t="s">
        <v>49</v>
      </c>
      <c r="C35" s="8" t="s">
        <v>43</v>
      </c>
      <c r="D35" s="29" t="s">
        <v>4</v>
      </c>
      <c r="E35" s="115"/>
      <c r="F35" s="75">
        <v>77648</v>
      </c>
      <c r="G35" s="36">
        <v>34645</v>
      </c>
      <c r="H35" s="108">
        <f t="shared" si="0"/>
        <v>2.2412469331793909</v>
      </c>
      <c r="I35" s="109">
        <v>1173.7</v>
      </c>
      <c r="J35" s="109">
        <v>66.2</v>
      </c>
      <c r="K35" s="128">
        <v>695</v>
      </c>
      <c r="L35" s="129" t="s">
        <v>216</v>
      </c>
      <c r="M35" s="130">
        <v>31040</v>
      </c>
      <c r="N35" s="130">
        <v>28759</v>
      </c>
      <c r="O35" s="130">
        <v>0</v>
      </c>
      <c r="P35" s="130">
        <v>31030</v>
      </c>
      <c r="Q35" s="130">
        <v>34645</v>
      </c>
      <c r="R35" s="130" t="s">
        <v>217</v>
      </c>
      <c r="S35" s="131" t="s">
        <v>297</v>
      </c>
      <c r="T35" s="131" t="s">
        <v>298</v>
      </c>
      <c r="U35" s="131" t="s">
        <v>299</v>
      </c>
      <c r="V35" s="131" t="s">
        <v>300</v>
      </c>
      <c r="W35" s="131"/>
      <c r="X35" s="131"/>
      <c r="Y35" s="13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36"/>
    </row>
    <row r="36" spans="1:51" x14ac:dyDescent="0.2">
      <c r="A36" s="8">
        <v>12000</v>
      </c>
      <c r="B36" s="8" t="s">
        <v>103</v>
      </c>
      <c r="C36" s="8" t="s">
        <v>22</v>
      </c>
      <c r="D36" s="29" t="s">
        <v>1</v>
      </c>
      <c r="E36" s="115" t="s">
        <v>201</v>
      </c>
      <c r="F36" s="75">
        <v>4291</v>
      </c>
      <c r="G36" s="36">
        <v>3046</v>
      </c>
      <c r="H36" s="108">
        <f t="shared" si="0"/>
        <v>1.4087327642810243</v>
      </c>
      <c r="I36" s="109">
        <v>2430.9</v>
      </c>
      <c r="J36" s="109">
        <v>1.8</v>
      </c>
      <c r="K36" s="128">
        <v>295</v>
      </c>
      <c r="L36" s="129" t="s">
        <v>216</v>
      </c>
      <c r="M36" s="130">
        <v>1746</v>
      </c>
      <c r="N36" s="130">
        <v>1721</v>
      </c>
      <c r="O36" s="130">
        <v>0</v>
      </c>
      <c r="P36" s="130">
        <v>1266</v>
      </c>
      <c r="Q36" s="130">
        <v>3046</v>
      </c>
      <c r="R36" s="130" t="s">
        <v>227</v>
      </c>
      <c r="S36" s="131" t="s">
        <v>301</v>
      </c>
      <c r="T36" s="131" t="s">
        <v>302</v>
      </c>
      <c r="U36" s="131" t="s">
        <v>303</v>
      </c>
      <c r="V36" s="131" t="s">
        <v>304</v>
      </c>
      <c r="W36" s="131"/>
      <c r="X36" s="131"/>
      <c r="Y36" s="13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36"/>
    </row>
    <row r="37" spans="1:51" x14ac:dyDescent="0.2">
      <c r="A37" s="8">
        <v>12150</v>
      </c>
      <c r="B37" s="8" t="s">
        <v>104</v>
      </c>
      <c r="C37" s="8" t="s">
        <v>42</v>
      </c>
      <c r="D37" s="29" t="s">
        <v>1</v>
      </c>
      <c r="E37" s="115"/>
      <c r="F37" s="75">
        <v>3907</v>
      </c>
      <c r="G37" s="36">
        <v>2714</v>
      </c>
      <c r="H37" s="108">
        <f t="shared" si="0"/>
        <v>1.439572586588062</v>
      </c>
      <c r="I37" s="109">
        <v>9916.1</v>
      </c>
      <c r="J37" s="109">
        <v>0.4</v>
      </c>
      <c r="K37" s="128">
        <v>280</v>
      </c>
      <c r="L37" s="129" t="s">
        <v>216</v>
      </c>
      <c r="M37" s="130">
        <v>1527</v>
      </c>
      <c r="N37" s="130">
        <v>0</v>
      </c>
      <c r="O37" s="130">
        <v>0</v>
      </c>
      <c r="P37" s="130">
        <v>0</v>
      </c>
      <c r="Q37" s="130">
        <v>0</v>
      </c>
      <c r="R37" s="130" t="s">
        <v>217</v>
      </c>
      <c r="S37" s="131" t="s">
        <v>305</v>
      </c>
      <c r="T37" s="131" t="s">
        <v>306</v>
      </c>
      <c r="U37" s="131"/>
      <c r="V37" s="131"/>
      <c r="W37" s="131"/>
      <c r="X37" s="131"/>
      <c r="Y37" s="13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36"/>
    </row>
    <row r="38" spans="1:51" x14ac:dyDescent="0.2">
      <c r="A38" s="8">
        <v>12160</v>
      </c>
      <c r="B38" s="8" t="s">
        <v>105</v>
      </c>
      <c r="C38" s="8" t="s">
        <v>22</v>
      </c>
      <c r="D38" s="29" t="s">
        <v>1</v>
      </c>
      <c r="E38" s="115" t="s">
        <v>201</v>
      </c>
      <c r="F38" s="75">
        <v>11225</v>
      </c>
      <c r="G38" s="36">
        <v>6213</v>
      </c>
      <c r="H38" s="108">
        <f t="shared" si="0"/>
        <v>1.8066956381780139</v>
      </c>
      <c r="I38" s="109">
        <v>3981.4</v>
      </c>
      <c r="J38" s="109">
        <v>2.8</v>
      </c>
      <c r="K38" s="128">
        <v>554.24</v>
      </c>
      <c r="L38" s="129" t="s">
        <v>216</v>
      </c>
      <c r="M38" s="130">
        <v>3936</v>
      </c>
      <c r="N38" s="130">
        <v>3936</v>
      </c>
      <c r="O38" s="130">
        <v>2578</v>
      </c>
      <c r="P38" s="130">
        <v>1213</v>
      </c>
      <c r="Q38" s="130">
        <v>0</v>
      </c>
      <c r="R38" s="130" t="s">
        <v>227</v>
      </c>
      <c r="S38" s="131" t="s">
        <v>307</v>
      </c>
      <c r="T38" s="131" t="s">
        <v>308</v>
      </c>
      <c r="U38" s="131"/>
      <c r="V38" s="131"/>
      <c r="W38" s="131"/>
      <c r="X38" s="131"/>
      <c r="Y38" s="13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36"/>
    </row>
    <row r="39" spans="1:51" x14ac:dyDescent="0.2">
      <c r="A39" s="8">
        <v>12350</v>
      </c>
      <c r="B39" s="8" t="s">
        <v>106</v>
      </c>
      <c r="C39" s="8" t="s">
        <v>42</v>
      </c>
      <c r="D39" s="29" t="s">
        <v>1</v>
      </c>
      <c r="E39" s="115" t="s">
        <v>199</v>
      </c>
      <c r="F39" s="75">
        <v>12730</v>
      </c>
      <c r="G39" s="36">
        <v>5262</v>
      </c>
      <c r="H39" s="108">
        <f t="shared" si="0"/>
        <v>2.4192322310908398</v>
      </c>
      <c r="I39" s="109">
        <v>2808.8</v>
      </c>
      <c r="J39" s="109">
        <v>4.5</v>
      </c>
      <c r="K39" s="128">
        <v>669</v>
      </c>
      <c r="L39" s="129" t="s">
        <v>216</v>
      </c>
      <c r="M39" s="130">
        <v>4763</v>
      </c>
      <c r="N39" s="130">
        <v>4476</v>
      </c>
      <c r="O39" s="130">
        <v>0</v>
      </c>
      <c r="P39" s="130">
        <v>0</v>
      </c>
      <c r="Q39" s="130">
        <v>0</v>
      </c>
      <c r="R39" s="130" t="s">
        <v>217</v>
      </c>
      <c r="S39" s="131" t="s">
        <v>309</v>
      </c>
      <c r="T39" s="131"/>
      <c r="U39" s="131"/>
      <c r="V39" s="131"/>
      <c r="W39" s="131"/>
      <c r="X39" s="131"/>
      <c r="Y39" s="13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36"/>
    </row>
    <row r="40" spans="1:51" x14ac:dyDescent="0.2">
      <c r="A40" s="8">
        <v>12380</v>
      </c>
      <c r="B40" s="8" t="s">
        <v>54</v>
      </c>
      <c r="C40" s="8" t="s">
        <v>19</v>
      </c>
      <c r="D40" s="29" t="s">
        <v>3</v>
      </c>
      <c r="E40" s="115"/>
      <c r="F40" s="75">
        <v>242674</v>
      </c>
      <c r="G40" s="36">
        <v>76450</v>
      </c>
      <c r="H40" s="108">
        <f t="shared" si="0"/>
        <v>3.1742838456507521</v>
      </c>
      <c r="I40" s="109">
        <v>71.599999999999994</v>
      </c>
      <c r="J40" s="109">
        <v>3391.6</v>
      </c>
      <c r="K40" s="128">
        <v>500</v>
      </c>
      <c r="L40" s="129" t="s">
        <v>216</v>
      </c>
      <c r="M40" s="130">
        <v>75365</v>
      </c>
      <c r="N40" s="130">
        <v>75365</v>
      </c>
      <c r="O40" s="130">
        <v>33219</v>
      </c>
      <c r="P40" s="130">
        <v>0</v>
      </c>
      <c r="Q40" s="130">
        <v>76450</v>
      </c>
      <c r="R40" s="130" t="s">
        <v>217</v>
      </c>
      <c r="S40" s="131"/>
      <c r="T40" s="131"/>
      <c r="U40" s="131"/>
      <c r="V40" s="131"/>
      <c r="W40" s="131"/>
      <c r="X40" s="131"/>
      <c r="Y40" s="13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36"/>
    </row>
    <row r="41" spans="1:51" x14ac:dyDescent="0.2">
      <c r="A41" s="8">
        <v>12390</v>
      </c>
      <c r="B41" s="8" t="s">
        <v>107</v>
      </c>
      <c r="C41" s="8" t="s">
        <v>42</v>
      </c>
      <c r="D41" s="29" t="s">
        <v>1</v>
      </c>
      <c r="E41" s="115"/>
      <c r="F41" s="75">
        <v>54044</v>
      </c>
      <c r="G41" s="36">
        <v>23000</v>
      </c>
      <c r="H41" s="108">
        <f t="shared" si="0"/>
        <v>2.3497391304347826</v>
      </c>
      <c r="I41" s="109">
        <v>7534.5</v>
      </c>
      <c r="J41" s="109">
        <v>7.2</v>
      </c>
      <c r="K41" s="128">
        <v>399.1</v>
      </c>
      <c r="L41" s="129" t="s">
        <v>216</v>
      </c>
      <c r="M41" s="130">
        <v>18988</v>
      </c>
      <c r="N41" s="130">
        <v>18988</v>
      </c>
      <c r="O41" s="130">
        <v>0</v>
      </c>
      <c r="P41" s="130">
        <v>15568</v>
      </c>
      <c r="Q41" s="130">
        <v>23000</v>
      </c>
      <c r="R41" s="130" t="s">
        <v>217</v>
      </c>
      <c r="S41" s="131"/>
      <c r="T41" s="131"/>
      <c r="U41" s="131"/>
      <c r="V41" s="131"/>
      <c r="W41" s="131"/>
      <c r="X41" s="131"/>
      <c r="Y41" s="13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36"/>
    </row>
    <row r="42" spans="1:51" x14ac:dyDescent="0.2">
      <c r="A42" s="8">
        <v>12700</v>
      </c>
      <c r="B42" s="8" t="s">
        <v>108</v>
      </c>
      <c r="C42" s="8" t="s">
        <v>25</v>
      </c>
      <c r="D42" s="29" t="s">
        <v>4</v>
      </c>
      <c r="E42" s="115" t="s">
        <v>204</v>
      </c>
      <c r="F42" s="75">
        <v>9664</v>
      </c>
      <c r="G42" s="36">
        <v>5300</v>
      </c>
      <c r="H42" s="108">
        <f t="shared" si="0"/>
        <v>1.8233962264150942</v>
      </c>
      <c r="I42" s="109">
        <v>2250</v>
      </c>
      <c r="J42" s="109">
        <v>4.3</v>
      </c>
      <c r="K42" s="128">
        <v>455</v>
      </c>
      <c r="L42" s="129" t="s">
        <v>216</v>
      </c>
      <c r="M42" s="130">
        <v>3786</v>
      </c>
      <c r="N42" s="130">
        <v>3751</v>
      </c>
      <c r="O42" s="130">
        <v>0</v>
      </c>
      <c r="P42" s="130">
        <v>0</v>
      </c>
      <c r="Q42" s="130">
        <v>5300</v>
      </c>
      <c r="R42" s="130" t="s">
        <v>217</v>
      </c>
      <c r="S42" s="131" t="s">
        <v>310</v>
      </c>
      <c r="T42" s="131"/>
      <c r="U42" s="131"/>
      <c r="V42" s="131"/>
      <c r="W42" s="131"/>
      <c r="X42" s="131"/>
      <c r="Y42" s="13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36"/>
    </row>
    <row r="43" spans="1:51" x14ac:dyDescent="0.2">
      <c r="A43" s="8">
        <v>12730</v>
      </c>
      <c r="B43" s="8" t="s">
        <v>109</v>
      </c>
      <c r="C43" s="8" t="s">
        <v>73</v>
      </c>
      <c r="D43" s="29" t="s">
        <v>1</v>
      </c>
      <c r="E43" s="115" t="s">
        <v>195</v>
      </c>
      <c r="F43" s="75">
        <v>9083</v>
      </c>
      <c r="G43" s="36">
        <v>5003</v>
      </c>
      <c r="H43" s="108">
        <f t="shared" si="0"/>
        <v>1.8155106935838496</v>
      </c>
      <c r="I43" s="109">
        <v>8883.4</v>
      </c>
      <c r="J43" s="109">
        <v>1</v>
      </c>
      <c r="K43" s="128">
        <v>374</v>
      </c>
      <c r="L43" s="129" t="s">
        <v>216</v>
      </c>
      <c r="M43" s="130">
        <v>3521</v>
      </c>
      <c r="N43" s="130">
        <v>0</v>
      </c>
      <c r="O43" s="130">
        <v>0</v>
      </c>
      <c r="P43" s="130">
        <v>0</v>
      </c>
      <c r="Q43" s="130">
        <v>0</v>
      </c>
      <c r="R43" s="130" t="s">
        <v>217</v>
      </c>
      <c r="S43" s="131" t="s">
        <v>311</v>
      </c>
      <c r="T43" s="131" t="s">
        <v>312</v>
      </c>
      <c r="U43" s="131" t="s">
        <v>313</v>
      </c>
      <c r="V43" s="131" t="s">
        <v>314</v>
      </c>
      <c r="W43" s="131" t="s">
        <v>315</v>
      </c>
      <c r="X43" s="131" t="s">
        <v>316</v>
      </c>
      <c r="Y43" s="13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36"/>
    </row>
    <row r="44" spans="1:51" x14ac:dyDescent="0.2">
      <c r="A44" s="8">
        <v>12750</v>
      </c>
      <c r="B44" s="8" t="s">
        <v>110</v>
      </c>
      <c r="C44" s="8" t="s">
        <v>74</v>
      </c>
      <c r="D44" s="29" t="s">
        <v>1</v>
      </c>
      <c r="E44" s="115" t="s">
        <v>74</v>
      </c>
      <c r="F44" s="75">
        <v>38952</v>
      </c>
      <c r="G44" s="36">
        <v>24402</v>
      </c>
      <c r="H44" s="108">
        <f t="shared" si="0"/>
        <v>1.5962626014261125</v>
      </c>
      <c r="I44" s="109">
        <v>3428.2</v>
      </c>
      <c r="J44" s="109">
        <v>11.4</v>
      </c>
      <c r="K44" s="128">
        <v>299.25</v>
      </c>
      <c r="L44" s="129" t="s">
        <v>216</v>
      </c>
      <c r="M44" s="130">
        <v>24402</v>
      </c>
      <c r="N44" s="130">
        <v>22891</v>
      </c>
      <c r="O44" s="130">
        <v>21428</v>
      </c>
      <c r="P44" s="130">
        <v>0</v>
      </c>
      <c r="Q44" s="130">
        <v>24402</v>
      </c>
      <c r="R44" s="130" t="s">
        <v>217</v>
      </c>
      <c r="S44" s="131" t="s">
        <v>317</v>
      </c>
      <c r="T44" s="131" t="s">
        <v>318</v>
      </c>
      <c r="U44" s="131" t="s">
        <v>319</v>
      </c>
      <c r="V44" s="131"/>
      <c r="W44" s="131"/>
      <c r="X44" s="131"/>
      <c r="Y44" s="13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36"/>
    </row>
    <row r="45" spans="1:51" x14ac:dyDescent="0.2">
      <c r="A45" s="8">
        <v>12850</v>
      </c>
      <c r="B45" s="8" t="s">
        <v>111</v>
      </c>
      <c r="C45" s="8" t="s">
        <v>19</v>
      </c>
      <c r="D45" s="29" t="s">
        <v>3</v>
      </c>
      <c r="E45" s="115"/>
      <c r="F45" s="75">
        <v>210825</v>
      </c>
      <c r="G45" s="36">
        <v>61956</v>
      </c>
      <c r="H45" s="108">
        <f t="shared" si="0"/>
        <v>3.4028181289947703</v>
      </c>
      <c r="I45" s="109">
        <v>101.5</v>
      </c>
      <c r="J45" s="109">
        <v>2077</v>
      </c>
      <c r="K45" s="128">
        <v>495</v>
      </c>
      <c r="L45" s="129" t="s">
        <v>216</v>
      </c>
      <c r="M45" s="130">
        <v>57762</v>
      </c>
      <c r="N45" s="130">
        <v>58304</v>
      </c>
      <c r="O45" s="130">
        <v>0</v>
      </c>
      <c r="P45" s="130">
        <v>0</v>
      </c>
      <c r="Q45" s="130">
        <v>61956</v>
      </c>
      <c r="R45" s="130" t="s">
        <v>217</v>
      </c>
      <c r="S45" s="131" t="s">
        <v>320</v>
      </c>
      <c r="T45" s="131"/>
      <c r="U45" s="131"/>
      <c r="V45" s="131"/>
      <c r="W45" s="131"/>
      <c r="X45" s="131"/>
      <c r="Y45" s="13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36"/>
    </row>
    <row r="46" spans="1:51" x14ac:dyDescent="0.2">
      <c r="A46" s="8">
        <v>12870</v>
      </c>
      <c r="B46" s="8" t="s">
        <v>112</v>
      </c>
      <c r="C46" s="8" t="s">
        <v>73</v>
      </c>
      <c r="D46" s="29" t="s">
        <v>1</v>
      </c>
      <c r="E46" s="115" t="s">
        <v>195</v>
      </c>
      <c r="F46" s="75">
        <v>12598</v>
      </c>
      <c r="G46" s="36">
        <v>9078</v>
      </c>
      <c r="H46" s="108">
        <f t="shared" si="0"/>
        <v>1.3877506058603217</v>
      </c>
      <c r="I46" s="109">
        <v>5685</v>
      </c>
      <c r="J46" s="109">
        <v>2.2000000000000002</v>
      </c>
      <c r="K46" s="128">
        <v>340</v>
      </c>
      <c r="L46" s="129" t="s">
        <v>216</v>
      </c>
      <c r="M46" s="130">
        <v>5866</v>
      </c>
      <c r="N46" s="130">
        <v>5451</v>
      </c>
      <c r="O46" s="130">
        <v>0</v>
      </c>
      <c r="P46" s="130">
        <v>5430</v>
      </c>
      <c r="Q46" s="130">
        <v>0</v>
      </c>
      <c r="R46" s="130" t="s">
        <v>217</v>
      </c>
      <c r="S46" s="131" t="s">
        <v>321</v>
      </c>
      <c r="T46" s="131" t="s">
        <v>322</v>
      </c>
      <c r="U46" s="131" t="s">
        <v>323</v>
      </c>
      <c r="V46" s="131" t="s">
        <v>324</v>
      </c>
      <c r="W46" s="131" t="s">
        <v>325</v>
      </c>
      <c r="X46" s="131" t="s">
        <v>326</v>
      </c>
      <c r="Y46" s="131" t="s">
        <v>327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36"/>
    </row>
    <row r="47" spans="1:51" x14ac:dyDescent="0.2">
      <c r="A47" s="8">
        <v>12900</v>
      </c>
      <c r="B47" s="8" t="s">
        <v>113</v>
      </c>
      <c r="C47" s="8" t="s">
        <v>42</v>
      </c>
      <c r="D47" s="29" t="s">
        <v>1</v>
      </c>
      <c r="E47" s="115" t="s">
        <v>199</v>
      </c>
      <c r="F47" s="75">
        <v>9920</v>
      </c>
      <c r="G47" s="36">
        <v>4248</v>
      </c>
      <c r="H47" s="108">
        <f t="shared" si="0"/>
        <v>2.335216572504708</v>
      </c>
      <c r="I47" s="109">
        <v>4710.1000000000004</v>
      </c>
      <c r="J47" s="109">
        <v>2.1</v>
      </c>
      <c r="K47" s="128">
        <v>534</v>
      </c>
      <c r="L47" s="129" t="s">
        <v>216</v>
      </c>
      <c r="M47" s="130">
        <v>3353</v>
      </c>
      <c r="N47" s="130">
        <v>3254</v>
      </c>
      <c r="O47" s="130">
        <v>0</v>
      </c>
      <c r="P47" s="130">
        <v>3295</v>
      </c>
      <c r="Q47" s="130">
        <v>4248</v>
      </c>
      <c r="R47" s="130" t="s">
        <v>217</v>
      </c>
      <c r="S47" s="131" t="s">
        <v>328</v>
      </c>
      <c r="T47" s="131" t="s">
        <v>329</v>
      </c>
      <c r="U47" s="131" t="s">
        <v>330</v>
      </c>
      <c r="V47" s="131" t="s">
        <v>331</v>
      </c>
      <c r="W47" s="131"/>
      <c r="X47" s="131"/>
      <c r="Y47" s="13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36"/>
    </row>
    <row r="48" spans="1:51" x14ac:dyDescent="0.2">
      <c r="A48" s="8">
        <v>12930</v>
      </c>
      <c r="B48" s="8" t="s">
        <v>55</v>
      </c>
      <c r="C48" s="8" t="s">
        <v>18</v>
      </c>
      <c r="D48" s="29" t="s">
        <v>3</v>
      </c>
      <c r="E48" s="115"/>
      <c r="F48" s="75">
        <v>160272</v>
      </c>
      <c r="G48" s="36">
        <v>61271</v>
      </c>
      <c r="H48" s="108">
        <f t="shared" si="0"/>
        <v>2.6157888723866103</v>
      </c>
      <c r="I48" s="109">
        <v>38.299999999999997</v>
      </c>
      <c r="J48" s="109">
        <v>4179.6000000000004</v>
      </c>
      <c r="K48" s="128">
        <v>464.88</v>
      </c>
      <c r="L48" s="129" t="s">
        <v>216</v>
      </c>
      <c r="M48" s="130">
        <v>57705</v>
      </c>
      <c r="N48" s="130">
        <v>61271</v>
      </c>
      <c r="O48" s="130">
        <v>57705</v>
      </c>
      <c r="P48" s="130">
        <v>0</v>
      </c>
      <c r="Q48" s="130">
        <v>61271</v>
      </c>
      <c r="R48" s="130" t="s">
        <v>217</v>
      </c>
      <c r="S48" s="131" t="s">
        <v>332</v>
      </c>
      <c r="T48" s="131" t="s">
        <v>333</v>
      </c>
      <c r="U48" s="131" t="s">
        <v>334</v>
      </c>
      <c r="V48" s="131"/>
      <c r="W48" s="131"/>
      <c r="X48" s="131"/>
      <c r="Y48" s="13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36"/>
    </row>
    <row r="49" spans="1:51" ht="15.75" customHeight="1" x14ac:dyDescent="0.2">
      <c r="A49" s="8">
        <v>12950</v>
      </c>
      <c r="B49" s="8" t="s">
        <v>114</v>
      </c>
      <c r="C49" s="8" t="s">
        <v>42</v>
      </c>
      <c r="D49" s="29" t="s">
        <v>1</v>
      </c>
      <c r="E49" s="115" t="s">
        <v>202</v>
      </c>
      <c r="F49" s="75">
        <v>4229</v>
      </c>
      <c r="G49" s="36">
        <v>2415</v>
      </c>
      <c r="H49" s="108">
        <f t="shared" si="0"/>
        <v>1.7511387163561076</v>
      </c>
      <c r="I49" s="109">
        <v>4831.5</v>
      </c>
      <c r="J49" s="109">
        <v>0.9</v>
      </c>
      <c r="K49" s="128">
        <v>441</v>
      </c>
      <c r="L49" s="129" t="s">
        <v>216</v>
      </c>
      <c r="M49" s="130">
        <v>1124</v>
      </c>
      <c r="N49" s="130">
        <v>1144</v>
      </c>
      <c r="O49" s="130">
        <v>0</v>
      </c>
      <c r="P49" s="130">
        <v>0</v>
      </c>
      <c r="Q49" s="130">
        <v>0</v>
      </c>
      <c r="R49" s="130" t="s">
        <v>217</v>
      </c>
      <c r="S49" s="131" t="s">
        <v>335</v>
      </c>
      <c r="T49" s="131"/>
      <c r="U49" s="131"/>
      <c r="V49" s="131"/>
      <c r="W49" s="131"/>
      <c r="X49" s="131"/>
      <c r="Y49" s="13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36"/>
    </row>
    <row r="50" spans="1:51" x14ac:dyDescent="0.2">
      <c r="A50" s="8">
        <v>13010</v>
      </c>
      <c r="B50" s="8" t="s">
        <v>115</v>
      </c>
      <c r="C50" s="8" t="s">
        <v>17</v>
      </c>
      <c r="D50" s="29" t="s">
        <v>1</v>
      </c>
      <c r="E50" s="115" t="s">
        <v>196</v>
      </c>
      <c r="F50" s="75">
        <v>8873</v>
      </c>
      <c r="G50" s="36">
        <v>5428</v>
      </c>
      <c r="H50" s="108">
        <f t="shared" si="0"/>
        <v>1.6346720707442888</v>
      </c>
      <c r="I50" s="109">
        <v>5480</v>
      </c>
      <c r="J50" s="109">
        <v>1.6</v>
      </c>
      <c r="K50" s="128">
        <v>325</v>
      </c>
      <c r="L50" s="129" t="s">
        <v>216</v>
      </c>
      <c r="M50" s="130">
        <v>3774</v>
      </c>
      <c r="N50" s="130">
        <v>2804</v>
      </c>
      <c r="O50" s="130">
        <v>0</v>
      </c>
      <c r="P50" s="130">
        <v>0</v>
      </c>
      <c r="Q50" s="130">
        <v>0</v>
      </c>
      <c r="R50" s="130" t="s">
        <v>217</v>
      </c>
      <c r="S50" s="131"/>
      <c r="T50" s="131"/>
      <c r="U50" s="131"/>
      <c r="V50" s="131"/>
      <c r="W50" s="131"/>
      <c r="X50" s="131"/>
      <c r="Y50" s="13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36"/>
    </row>
    <row r="51" spans="1:51" x14ac:dyDescent="0.2">
      <c r="A51" s="8">
        <v>13310</v>
      </c>
      <c r="B51" s="8" t="s">
        <v>116</v>
      </c>
      <c r="C51" s="8" t="s">
        <v>74</v>
      </c>
      <c r="D51" s="29" t="s">
        <v>1</v>
      </c>
      <c r="E51" s="115" t="s">
        <v>74</v>
      </c>
      <c r="F51" s="75">
        <v>31554</v>
      </c>
      <c r="G51" s="36">
        <v>16761</v>
      </c>
      <c r="H51" s="108">
        <f t="shared" si="0"/>
        <v>1.8825845713262932</v>
      </c>
      <c r="I51" s="109">
        <v>3220.1</v>
      </c>
      <c r="J51" s="109">
        <v>9.8000000000000007</v>
      </c>
      <c r="K51" s="128">
        <v>381</v>
      </c>
      <c r="L51" s="129" t="s">
        <v>216</v>
      </c>
      <c r="M51" s="130">
        <v>10400</v>
      </c>
      <c r="N51" s="130">
        <v>10390</v>
      </c>
      <c r="O51" s="130">
        <v>0</v>
      </c>
      <c r="P51" s="130">
        <v>10390</v>
      </c>
      <c r="Q51" s="130">
        <v>16761</v>
      </c>
      <c r="R51" s="130" t="s">
        <v>217</v>
      </c>
      <c r="S51" s="131" t="s">
        <v>336</v>
      </c>
      <c r="T51" s="131" t="s">
        <v>337</v>
      </c>
      <c r="U51" s="131" t="s">
        <v>338</v>
      </c>
      <c r="V51" s="131"/>
      <c r="W51" s="131"/>
      <c r="X51" s="131"/>
      <c r="Y51" s="13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36"/>
    </row>
    <row r="52" spans="1:51" x14ac:dyDescent="0.2">
      <c r="A52" s="8">
        <v>13340</v>
      </c>
      <c r="B52" s="8" t="s">
        <v>117</v>
      </c>
      <c r="C52" s="8" t="s">
        <v>22</v>
      </c>
      <c r="D52" s="29" t="s">
        <v>1</v>
      </c>
      <c r="E52" s="115" t="s">
        <v>201</v>
      </c>
      <c r="F52" s="75">
        <v>10841</v>
      </c>
      <c r="G52" s="36">
        <v>6690</v>
      </c>
      <c r="H52" s="108">
        <f t="shared" si="0"/>
        <v>1.6204783258594917</v>
      </c>
      <c r="I52" s="109">
        <v>5749.5</v>
      </c>
      <c r="J52" s="109">
        <v>1.9</v>
      </c>
      <c r="K52" s="128">
        <v>272</v>
      </c>
      <c r="L52" s="129" t="s">
        <v>216</v>
      </c>
      <c r="M52" s="130">
        <v>3854</v>
      </c>
      <c r="N52" s="130">
        <v>3724</v>
      </c>
      <c r="O52" s="130">
        <v>0</v>
      </c>
      <c r="P52" s="130">
        <v>0</v>
      </c>
      <c r="Q52" s="130">
        <v>0</v>
      </c>
      <c r="R52" s="130" t="s">
        <v>217</v>
      </c>
      <c r="S52" s="131" t="s">
        <v>339</v>
      </c>
      <c r="T52" s="131" t="s">
        <v>340</v>
      </c>
      <c r="U52" s="131" t="s">
        <v>341</v>
      </c>
      <c r="V52" s="131" t="s">
        <v>342</v>
      </c>
      <c r="W52" s="131" t="s">
        <v>343</v>
      </c>
      <c r="X52" s="131" t="s">
        <v>344</v>
      </c>
      <c r="Y52" s="131" t="s">
        <v>345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36"/>
    </row>
    <row r="53" spans="1:51" x14ac:dyDescent="0.2">
      <c r="A53" s="8">
        <v>13450</v>
      </c>
      <c r="B53" s="8" t="s">
        <v>118</v>
      </c>
      <c r="C53" s="8" t="s">
        <v>75</v>
      </c>
      <c r="D53" s="29" t="s">
        <v>1</v>
      </c>
      <c r="E53" s="115" t="s">
        <v>195</v>
      </c>
      <c r="F53" s="75">
        <v>27155</v>
      </c>
      <c r="G53" s="36">
        <v>13653</v>
      </c>
      <c r="H53" s="108">
        <f t="shared" si="0"/>
        <v>1.988940159671867</v>
      </c>
      <c r="I53" s="109">
        <v>1639.2</v>
      </c>
      <c r="J53" s="109">
        <v>16.600000000000001</v>
      </c>
      <c r="K53" s="128">
        <v>315</v>
      </c>
      <c r="L53" s="129" t="s">
        <v>216</v>
      </c>
      <c r="M53" s="130">
        <v>8594</v>
      </c>
      <c r="N53" s="130">
        <v>8147</v>
      </c>
      <c r="O53" s="130">
        <v>0</v>
      </c>
      <c r="P53" s="130">
        <v>0</v>
      </c>
      <c r="Q53" s="130">
        <v>0</v>
      </c>
      <c r="R53" s="130" t="s">
        <v>217</v>
      </c>
      <c r="S53" s="131" t="s">
        <v>346</v>
      </c>
      <c r="T53" s="131" t="s">
        <v>347</v>
      </c>
      <c r="U53" s="131"/>
      <c r="V53" s="131"/>
      <c r="W53" s="131"/>
      <c r="X53" s="131"/>
      <c r="Y53" s="13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36"/>
    </row>
    <row r="54" spans="1:51" x14ac:dyDescent="0.2">
      <c r="A54" s="8">
        <v>13550</v>
      </c>
      <c r="B54" s="8" t="s">
        <v>77</v>
      </c>
      <c r="C54" s="8" t="s">
        <v>17</v>
      </c>
      <c r="D54" s="29" t="s">
        <v>1</v>
      </c>
      <c r="E54" s="115" t="s">
        <v>205</v>
      </c>
      <c r="F54" s="75">
        <v>12690</v>
      </c>
      <c r="G54" s="36">
        <v>4804</v>
      </c>
      <c r="H54" s="108">
        <f t="shared" si="0"/>
        <v>2.6415487094088261</v>
      </c>
      <c r="I54" s="109">
        <v>4987</v>
      </c>
      <c r="J54" s="109">
        <v>2.5</v>
      </c>
      <c r="K54" s="128">
        <v>425</v>
      </c>
      <c r="L54" s="129" t="s">
        <v>216</v>
      </c>
      <c r="M54" s="130">
        <v>4487</v>
      </c>
      <c r="N54" s="130">
        <v>4456</v>
      </c>
      <c r="O54" s="130">
        <v>3494</v>
      </c>
      <c r="P54" s="130">
        <v>0</v>
      </c>
      <c r="Q54" s="130">
        <v>0</v>
      </c>
      <c r="R54" s="130" t="s">
        <v>217</v>
      </c>
      <c r="S54" s="131" t="s">
        <v>77</v>
      </c>
      <c r="T54" s="131" t="s">
        <v>348</v>
      </c>
      <c r="U54" s="131" t="s">
        <v>349</v>
      </c>
      <c r="V54" s="131" t="s">
        <v>350</v>
      </c>
      <c r="W54" s="131" t="s">
        <v>351</v>
      </c>
      <c r="X54" s="131"/>
      <c r="Y54" s="13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36"/>
    </row>
    <row r="55" spans="1:51" x14ac:dyDescent="0.2">
      <c r="A55" s="8">
        <v>13660</v>
      </c>
      <c r="B55" s="8" t="s">
        <v>119</v>
      </c>
      <c r="C55" s="8" t="s">
        <v>17</v>
      </c>
      <c r="D55" s="29" t="s">
        <v>1</v>
      </c>
      <c r="E55" s="115" t="s">
        <v>205</v>
      </c>
      <c r="F55" s="75">
        <v>5299</v>
      </c>
      <c r="G55" s="36">
        <v>3287</v>
      </c>
      <c r="H55" s="108">
        <f t="shared" si="0"/>
        <v>1.6121083054456951</v>
      </c>
      <c r="I55" s="109">
        <v>9259.7000000000007</v>
      </c>
      <c r="J55" s="109">
        <v>0.6</v>
      </c>
      <c r="K55" s="128">
        <v>365</v>
      </c>
      <c r="L55" s="129" t="s">
        <v>216</v>
      </c>
      <c r="M55" s="130">
        <v>1488</v>
      </c>
      <c r="N55" s="130">
        <v>1476</v>
      </c>
      <c r="O55" s="130">
        <v>0</v>
      </c>
      <c r="P55" s="130">
        <v>1422</v>
      </c>
      <c r="Q55" s="130">
        <v>0</v>
      </c>
      <c r="R55" s="130" t="s">
        <v>217</v>
      </c>
      <c r="S55" s="131" t="s">
        <v>352</v>
      </c>
      <c r="T55" s="131" t="s">
        <v>353</v>
      </c>
      <c r="U55" s="131" t="s">
        <v>354</v>
      </c>
      <c r="V55" s="131" t="s">
        <v>355</v>
      </c>
      <c r="W55" s="131" t="s">
        <v>356</v>
      </c>
      <c r="X55" s="131" t="s">
        <v>357</v>
      </c>
      <c r="Y55" s="131" t="s">
        <v>358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36"/>
    </row>
    <row r="56" spans="1:51" x14ac:dyDescent="0.2">
      <c r="A56" s="8">
        <v>13800</v>
      </c>
      <c r="B56" s="8" t="s">
        <v>120</v>
      </c>
      <c r="C56" s="8" t="s">
        <v>19</v>
      </c>
      <c r="D56" s="29" t="s">
        <v>2</v>
      </c>
      <c r="E56" s="115"/>
      <c r="F56" s="75">
        <v>67749</v>
      </c>
      <c r="G56" s="36">
        <v>24843</v>
      </c>
      <c r="H56" s="108">
        <f t="shared" si="0"/>
        <v>2.7270861007124743</v>
      </c>
      <c r="I56" s="109">
        <v>2775.1</v>
      </c>
      <c r="J56" s="109">
        <v>24.4</v>
      </c>
      <c r="K56" s="128">
        <v>681</v>
      </c>
      <c r="L56" s="129" t="s">
        <v>216</v>
      </c>
      <c r="M56" s="130">
        <v>23816</v>
      </c>
      <c r="N56" s="130">
        <v>23702</v>
      </c>
      <c r="O56" s="130">
        <v>13987</v>
      </c>
      <c r="P56" s="130">
        <v>0</v>
      </c>
      <c r="Q56" s="130">
        <v>24843</v>
      </c>
      <c r="R56" s="130" t="s">
        <v>217</v>
      </c>
      <c r="S56" s="131" t="s">
        <v>359</v>
      </c>
      <c r="T56" s="131"/>
      <c r="U56" s="131"/>
      <c r="V56" s="131"/>
      <c r="W56" s="131"/>
      <c r="X56" s="131"/>
      <c r="Y56" s="13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36"/>
    </row>
    <row r="57" spans="1:51" x14ac:dyDescent="0.2">
      <c r="A57" s="8">
        <v>13850</v>
      </c>
      <c r="B57" s="8" t="s">
        <v>121</v>
      </c>
      <c r="C57" s="8" t="s">
        <v>75</v>
      </c>
      <c r="D57" s="29" t="s">
        <v>1</v>
      </c>
      <c r="E57" s="115" t="s">
        <v>195</v>
      </c>
      <c r="F57" s="75">
        <v>2943</v>
      </c>
      <c r="G57" s="36">
        <v>1799</v>
      </c>
      <c r="H57" s="108">
        <f t="shared" si="0"/>
        <v>1.6359088382434686</v>
      </c>
      <c r="I57" s="109">
        <v>11325.9</v>
      </c>
      <c r="J57" s="109">
        <v>0.3</v>
      </c>
      <c r="K57" s="128">
        <v>278</v>
      </c>
      <c r="L57" s="129" t="s">
        <v>216</v>
      </c>
      <c r="M57" s="130">
        <v>1208</v>
      </c>
      <c r="N57" s="130">
        <v>0</v>
      </c>
      <c r="O57" s="130">
        <v>0</v>
      </c>
      <c r="P57" s="130">
        <v>0</v>
      </c>
      <c r="Q57" s="130">
        <v>0</v>
      </c>
      <c r="R57" s="130" t="s">
        <v>217</v>
      </c>
      <c r="S57" s="131" t="s">
        <v>360</v>
      </c>
      <c r="T57" s="131"/>
      <c r="U57" s="131"/>
      <c r="V57" s="131"/>
      <c r="W57" s="131"/>
      <c r="X57" s="131"/>
      <c r="Y57" s="13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36"/>
    </row>
    <row r="58" spans="1:51" x14ac:dyDescent="0.2">
      <c r="A58" s="8">
        <v>13910</v>
      </c>
      <c r="B58" s="8" t="s">
        <v>122</v>
      </c>
      <c r="C58" s="8" t="s">
        <v>74</v>
      </c>
      <c r="D58" s="29" t="s">
        <v>1</v>
      </c>
      <c r="E58" s="115" t="s">
        <v>74</v>
      </c>
      <c r="F58" s="75">
        <v>18617</v>
      </c>
      <c r="G58" s="36">
        <v>11454</v>
      </c>
      <c r="H58" s="108">
        <f t="shared" si="0"/>
        <v>1.6253710494150515</v>
      </c>
      <c r="I58" s="109">
        <v>7140.9</v>
      </c>
      <c r="J58" s="109">
        <v>2.6</v>
      </c>
      <c r="K58" s="128">
        <v>485.58</v>
      </c>
      <c r="L58" s="129" t="s">
        <v>216</v>
      </c>
      <c r="M58" s="130">
        <v>10054</v>
      </c>
      <c r="N58" s="130">
        <v>5054</v>
      </c>
      <c r="O58" s="130">
        <v>4386</v>
      </c>
      <c r="P58" s="130">
        <v>0</v>
      </c>
      <c r="Q58" s="130">
        <v>0</v>
      </c>
      <c r="R58" s="130" t="s">
        <v>217</v>
      </c>
      <c r="S58" s="131" t="s">
        <v>361</v>
      </c>
      <c r="T58" s="131" t="s">
        <v>362</v>
      </c>
      <c r="U58" s="131" t="s">
        <v>188</v>
      </c>
      <c r="V58" s="131" t="s">
        <v>363</v>
      </c>
      <c r="W58" s="131" t="s">
        <v>364</v>
      </c>
      <c r="X58" s="131" t="s">
        <v>365</v>
      </c>
      <c r="Y58" s="13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36"/>
    </row>
    <row r="59" spans="1:51" x14ac:dyDescent="0.2">
      <c r="A59" s="8">
        <v>14000</v>
      </c>
      <c r="B59" s="8" t="s">
        <v>123</v>
      </c>
      <c r="C59" s="8" t="s">
        <v>26</v>
      </c>
      <c r="D59" s="29" t="s">
        <v>3</v>
      </c>
      <c r="E59" s="115"/>
      <c r="F59" s="75">
        <v>152419</v>
      </c>
      <c r="G59" s="36">
        <v>52488</v>
      </c>
      <c r="H59" s="108">
        <f t="shared" si="0"/>
        <v>2.9038827922572779</v>
      </c>
      <c r="I59" s="109">
        <v>455</v>
      </c>
      <c r="J59" s="109">
        <v>335</v>
      </c>
      <c r="K59" s="128">
        <v>536</v>
      </c>
      <c r="L59" s="129" t="s">
        <v>216</v>
      </c>
      <c r="M59" s="130">
        <v>52488</v>
      </c>
      <c r="N59" s="130">
        <v>52488</v>
      </c>
      <c r="O59" s="130">
        <v>52488</v>
      </c>
      <c r="P59" s="130">
        <v>0</v>
      </c>
      <c r="Q59" s="130">
        <v>52488</v>
      </c>
      <c r="R59" s="130" t="s">
        <v>217</v>
      </c>
      <c r="S59" s="131" t="s">
        <v>366</v>
      </c>
      <c r="T59" s="131" t="s">
        <v>367</v>
      </c>
      <c r="U59" s="131"/>
      <c r="V59" s="131"/>
      <c r="W59" s="131"/>
      <c r="X59" s="131"/>
      <c r="Y59" s="13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36"/>
    </row>
    <row r="60" spans="1:51" x14ac:dyDescent="0.2">
      <c r="A60" s="8">
        <v>14100</v>
      </c>
      <c r="B60" s="8" t="s">
        <v>56</v>
      </c>
      <c r="C60" s="8" t="s">
        <v>26</v>
      </c>
      <c r="D60" s="29" t="s">
        <v>3</v>
      </c>
      <c r="E60" s="115"/>
      <c r="F60" s="75">
        <v>14962</v>
      </c>
      <c r="G60" s="36">
        <v>5237</v>
      </c>
      <c r="H60" s="108">
        <f t="shared" si="0"/>
        <v>2.8569791865571892</v>
      </c>
      <c r="I60" s="109">
        <v>5.7</v>
      </c>
      <c r="J60" s="109">
        <v>2617.1999999999998</v>
      </c>
      <c r="K60" s="128">
        <v>555</v>
      </c>
      <c r="L60" s="129" t="s">
        <v>216</v>
      </c>
      <c r="M60" s="130">
        <v>4926</v>
      </c>
      <c r="N60" s="130">
        <v>4844</v>
      </c>
      <c r="O60" s="130">
        <v>4693</v>
      </c>
      <c r="P60" s="130">
        <v>0</v>
      </c>
      <c r="Q60" s="130">
        <v>5237</v>
      </c>
      <c r="R60" s="130" t="s">
        <v>227</v>
      </c>
      <c r="S60" s="131"/>
      <c r="T60" s="131"/>
      <c r="U60" s="131"/>
      <c r="V60" s="131"/>
      <c r="W60" s="131"/>
      <c r="X60" s="131"/>
      <c r="Y60" s="13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36"/>
    </row>
    <row r="61" spans="1:51" x14ac:dyDescent="0.2">
      <c r="A61" s="8">
        <v>14170</v>
      </c>
      <c r="B61" s="8" t="s">
        <v>57</v>
      </c>
      <c r="C61" s="8" t="s">
        <v>18</v>
      </c>
      <c r="D61" s="29" t="s">
        <v>3</v>
      </c>
      <c r="E61" s="115"/>
      <c r="F61" s="75">
        <v>201880</v>
      </c>
      <c r="G61" s="36">
        <v>78331</v>
      </c>
      <c r="H61" s="108">
        <f t="shared" si="0"/>
        <v>2.5772682590545251</v>
      </c>
      <c r="I61" s="109">
        <v>35.4</v>
      </c>
      <c r="J61" s="109">
        <v>5707.5</v>
      </c>
      <c r="K61" s="128">
        <v>544</v>
      </c>
      <c r="L61" s="129" t="s">
        <v>216</v>
      </c>
      <c r="M61" s="130">
        <v>70082</v>
      </c>
      <c r="N61" s="130">
        <v>68490</v>
      </c>
      <c r="O61" s="130">
        <v>34458</v>
      </c>
      <c r="P61" s="130">
        <v>0</v>
      </c>
      <c r="Q61" s="130">
        <v>78331</v>
      </c>
      <c r="R61" s="130" t="s">
        <v>217</v>
      </c>
      <c r="S61" s="131" t="s">
        <v>368</v>
      </c>
      <c r="T61" s="131" t="s">
        <v>369</v>
      </c>
      <c r="U61" s="131"/>
      <c r="V61" s="131"/>
      <c r="W61" s="131"/>
      <c r="X61" s="131"/>
      <c r="Y61" s="13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36"/>
    </row>
    <row r="62" spans="1:51" x14ac:dyDescent="0.2">
      <c r="A62" s="8">
        <v>14200</v>
      </c>
      <c r="B62" s="8" t="s">
        <v>124</v>
      </c>
      <c r="C62" s="8" t="s">
        <v>17</v>
      </c>
      <c r="D62" s="29" t="s">
        <v>1</v>
      </c>
      <c r="E62" s="115" t="s">
        <v>196</v>
      </c>
      <c r="F62" s="75">
        <v>17780</v>
      </c>
      <c r="G62" s="36">
        <v>8587</v>
      </c>
      <c r="H62" s="108">
        <f t="shared" si="0"/>
        <v>2.0705717945731918</v>
      </c>
      <c r="I62" s="109">
        <v>9408.5</v>
      </c>
      <c r="J62" s="109">
        <v>1.9</v>
      </c>
      <c r="K62" s="128">
        <v>340</v>
      </c>
      <c r="L62" s="129" t="s">
        <v>216</v>
      </c>
      <c r="M62" s="130">
        <v>7115</v>
      </c>
      <c r="N62" s="130">
        <v>7115</v>
      </c>
      <c r="O62" s="130">
        <v>0</v>
      </c>
      <c r="P62" s="130">
        <v>0</v>
      </c>
      <c r="Q62" s="130">
        <v>8587</v>
      </c>
      <c r="R62" s="130" t="s">
        <v>217</v>
      </c>
      <c r="S62" s="131" t="s">
        <v>370</v>
      </c>
      <c r="T62" s="131" t="s">
        <v>371</v>
      </c>
      <c r="U62" s="131" t="s">
        <v>372</v>
      </c>
      <c r="V62" s="131" t="s">
        <v>373</v>
      </c>
      <c r="W62" s="131" t="s">
        <v>374</v>
      </c>
      <c r="X62" s="131" t="s">
        <v>375</v>
      </c>
      <c r="Y62" s="13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36"/>
    </row>
    <row r="63" spans="1:51" x14ac:dyDescent="0.2">
      <c r="A63" s="8">
        <v>14300</v>
      </c>
      <c r="B63" s="8" t="s">
        <v>125</v>
      </c>
      <c r="C63" s="8" t="s">
        <v>22</v>
      </c>
      <c r="D63" s="29" t="s">
        <v>1</v>
      </c>
      <c r="E63" s="115" t="s">
        <v>201</v>
      </c>
      <c r="F63" s="75">
        <v>6676</v>
      </c>
      <c r="G63" s="36">
        <v>3087</v>
      </c>
      <c r="H63" s="108">
        <f t="shared" si="0"/>
        <v>2.1626174279235504</v>
      </c>
      <c r="I63" s="109">
        <v>2030</v>
      </c>
      <c r="J63" s="109">
        <v>3.3</v>
      </c>
      <c r="K63" s="128">
        <v>400.8</v>
      </c>
      <c r="L63" s="129" t="s">
        <v>216</v>
      </c>
      <c r="M63" s="130">
        <v>1963</v>
      </c>
      <c r="N63" s="130">
        <v>1952</v>
      </c>
      <c r="O63" s="130">
        <v>0</v>
      </c>
      <c r="P63" s="130">
        <v>1702</v>
      </c>
      <c r="Q63" s="130">
        <v>0</v>
      </c>
      <c r="R63" s="130" t="s">
        <v>217</v>
      </c>
      <c r="S63" s="131" t="s">
        <v>376</v>
      </c>
      <c r="T63" s="131"/>
      <c r="U63" s="131"/>
      <c r="V63" s="131"/>
      <c r="W63" s="131"/>
      <c r="X63" s="131"/>
      <c r="Y63" s="13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36"/>
    </row>
    <row r="64" spans="1:51" x14ac:dyDescent="0.2">
      <c r="A64" s="8">
        <v>14350</v>
      </c>
      <c r="B64" s="8" t="s">
        <v>126</v>
      </c>
      <c r="C64" s="8" t="s">
        <v>43</v>
      </c>
      <c r="D64" s="29" t="s">
        <v>4</v>
      </c>
      <c r="E64" s="115" t="s">
        <v>200</v>
      </c>
      <c r="F64" s="75">
        <v>29921</v>
      </c>
      <c r="G64" s="36">
        <v>15699</v>
      </c>
      <c r="H64" s="108">
        <f t="shared" si="0"/>
        <v>1.9059175743677941</v>
      </c>
      <c r="I64" s="109">
        <v>3375.7</v>
      </c>
      <c r="J64" s="109">
        <v>8.9</v>
      </c>
      <c r="K64" s="128">
        <v>403</v>
      </c>
      <c r="L64" s="129" t="s">
        <v>216</v>
      </c>
      <c r="M64" s="130">
        <v>11994</v>
      </c>
      <c r="N64" s="130">
        <v>12434</v>
      </c>
      <c r="O64" s="130">
        <v>0</v>
      </c>
      <c r="P64" s="130">
        <v>11541</v>
      </c>
      <c r="Q64" s="130">
        <v>0</v>
      </c>
      <c r="R64" s="130" t="s">
        <v>217</v>
      </c>
      <c r="S64" s="131" t="s">
        <v>377</v>
      </c>
      <c r="T64" s="131" t="s">
        <v>378</v>
      </c>
      <c r="U64" s="131" t="s">
        <v>379</v>
      </c>
      <c r="V64" s="131" t="s">
        <v>380</v>
      </c>
      <c r="W64" s="131"/>
      <c r="X64" s="131"/>
      <c r="Y64" s="13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36"/>
    </row>
    <row r="65" spans="1:51" x14ac:dyDescent="0.2">
      <c r="A65" s="8">
        <v>14400</v>
      </c>
      <c r="B65" s="8" t="s">
        <v>127</v>
      </c>
      <c r="C65" s="8" t="s">
        <v>41</v>
      </c>
      <c r="D65" s="29" t="s">
        <v>2</v>
      </c>
      <c r="E65" s="115" t="s">
        <v>41</v>
      </c>
      <c r="F65" s="75">
        <v>23685</v>
      </c>
      <c r="G65" s="36">
        <v>12389</v>
      </c>
      <c r="H65" s="108">
        <f t="shared" si="0"/>
        <v>1.9117765759948342</v>
      </c>
      <c r="I65" s="109">
        <v>257.7</v>
      </c>
      <c r="J65" s="109">
        <v>91.9</v>
      </c>
      <c r="K65" s="128">
        <v>601.91</v>
      </c>
      <c r="L65" s="129" t="s">
        <v>216</v>
      </c>
      <c r="M65" s="130">
        <v>10149</v>
      </c>
      <c r="N65" s="130">
        <v>9600</v>
      </c>
      <c r="O65" s="130">
        <v>0</v>
      </c>
      <c r="P65" s="130">
        <v>9622</v>
      </c>
      <c r="Q65" s="130">
        <v>12389</v>
      </c>
      <c r="R65" s="130" t="s">
        <v>217</v>
      </c>
      <c r="S65" s="131" t="s">
        <v>381</v>
      </c>
      <c r="T65" s="131"/>
      <c r="U65" s="131"/>
      <c r="V65" s="131"/>
      <c r="W65" s="131"/>
      <c r="X65" s="131"/>
      <c r="Y65" s="13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36"/>
    </row>
    <row r="66" spans="1:51" x14ac:dyDescent="0.2">
      <c r="A66" s="8">
        <v>14500</v>
      </c>
      <c r="B66" s="8" t="s">
        <v>58</v>
      </c>
      <c r="C66" s="8" t="s">
        <v>26</v>
      </c>
      <c r="D66" s="29" t="s">
        <v>3</v>
      </c>
      <c r="E66" s="115"/>
      <c r="F66" s="75">
        <v>127603</v>
      </c>
      <c r="G66" s="36">
        <v>44570</v>
      </c>
      <c r="H66" s="108">
        <f t="shared" si="0"/>
        <v>2.8629795826789319</v>
      </c>
      <c r="I66" s="109">
        <v>85.4</v>
      </c>
      <c r="J66" s="109">
        <v>1494</v>
      </c>
      <c r="K66" s="128">
        <v>455</v>
      </c>
      <c r="L66" s="129" t="s">
        <v>216</v>
      </c>
      <c r="M66" s="130">
        <v>44570</v>
      </c>
      <c r="N66" s="130">
        <v>31517</v>
      </c>
      <c r="O66" s="130">
        <v>31094</v>
      </c>
      <c r="P66" s="130">
        <v>0</v>
      </c>
      <c r="Q66" s="130">
        <v>44570</v>
      </c>
      <c r="R66" s="130" t="s">
        <v>217</v>
      </c>
      <c r="S66" s="131" t="s">
        <v>382</v>
      </c>
      <c r="T66" s="131"/>
      <c r="U66" s="131"/>
      <c r="V66" s="131"/>
      <c r="W66" s="131"/>
      <c r="X66" s="131"/>
      <c r="Y66" s="13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36"/>
    </row>
    <row r="67" spans="1:51" x14ac:dyDescent="0.2">
      <c r="A67" s="8">
        <v>14550</v>
      </c>
      <c r="B67" s="8" t="s">
        <v>128</v>
      </c>
      <c r="C67" s="8" t="s">
        <v>20</v>
      </c>
      <c r="D67" s="29" t="s">
        <v>4</v>
      </c>
      <c r="E67" s="115" t="s">
        <v>197</v>
      </c>
      <c r="F67" s="75">
        <v>8788</v>
      </c>
      <c r="G67" s="36">
        <v>4042</v>
      </c>
      <c r="H67" s="108">
        <f t="shared" si="0"/>
        <v>2.1741712023750619</v>
      </c>
      <c r="I67" s="109">
        <v>3584.2</v>
      </c>
      <c r="J67" s="109">
        <v>2.5</v>
      </c>
      <c r="K67" s="128">
        <v>450</v>
      </c>
      <c r="L67" s="129" t="s">
        <v>216</v>
      </c>
      <c r="M67" s="130">
        <v>1970</v>
      </c>
      <c r="N67" s="130">
        <v>1970</v>
      </c>
      <c r="O67" s="130">
        <v>0</v>
      </c>
      <c r="P67" s="130">
        <v>0</v>
      </c>
      <c r="Q67" s="130">
        <v>0</v>
      </c>
      <c r="R67" s="130" t="s">
        <v>217</v>
      </c>
      <c r="S67" s="131" t="s">
        <v>383</v>
      </c>
      <c r="T67" s="131"/>
      <c r="U67" s="131"/>
      <c r="V67" s="131"/>
      <c r="W67" s="131"/>
      <c r="X67" s="131"/>
      <c r="Y67" s="13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36"/>
    </row>
    <row r="68" spans="1:51" x14ac:dyDescent="0.2">
      <c r="A68" s="8">
        <v>14600</v>
      </c>
      <c r="B68" s="8" t="s">
        <v>129</v>
      </c>
      <c r="C68" s="8" t="s">
        <v>42</v>
      </c>
      <c r="D68" s="29" t="s">
        <v>1</v>
      </c>
      <c r="E68" s="115" t="s">
        <v>199</v>
      </c>
      <c r="F68" s="75">
        <v>6089</v>
      </c>
      <c r="G68" s="36">
        <v>4260</v>
      </c>
      <c r="H68" s="108">
        <f t="shared" si="0"/>
        <v>1.4293427230046949</v>
      </c>
      <c r="I68" s="109">
        <v>14968.3</v>
      </c>
      <c r="J68" s="109">
        <v>0.4</v>
      </c>
      <c r="K68" s="128">
        <v>551</v>
      </c>
      <c r="L68" s="129" t="s">
        <v>216</v>
      </c>
      <c r="M68" s="130">
        <v>2064</v>
      </c>
      <c r="N68" s="130">
        <v>2057</v>
      </c>
      <c r="O68" s="130">
        <v>1293</v>
      </c>
      <c r="P68" s="130">
        <v>0</v>
      </c>
      <c r="Q68" s="130">
        <v>0</v>
      </c>
      <c r="R68" s="130" t="s">
        <v>227</v>
      </c>
      <c r="S68" s="131" t="s">
        <v>384</v>
      </c>
      <c r="T68" s="131" t="s">
        <v>385</v>
      </c>
      <c r="U68" s="131" t="s">
        <v>386</v>
      </c>
      <c r="V68" s="131" t="s">
        <v>387</v>
      </c>
      <c r="W68" s="131" t="s">
        <v>388</v>
      </c>
      <c r="X68" s="131"/>
      <c r="Y68" s="13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36"/>
    </row>
    <row r="69" spans="1:51" x14ac:dyDescent="0.2">
      <c r="A69" s="8">
        <v>14650</v>
      </c>
      <c r="B69" s="8" t="s">
        <v>130</v>
      </c>
      <c r="C69" s="8" t="s">
        <v>25</v>
      </c>
      <c r="D69" s="29" t="s">
        <v>2</v>
      </c>
      <c r="E69" s="115" t="s">
        <v>204</v>
      </c>
      <c r="F69" s="75">
        <v>207775</v>
      </c>
      <c r="G69" s="36">
        <v>87115</v>
      </c>
      <c r="H69" s="108">
        <f t="shared" ref="H69:H132" si="1">F69/G69</f>
        <v>2.3850657177294381</v>
      </c>
      <c r="I69" s="109">
        <v>648.6</v>
      </c>
      <c r="J69" s="109">
        <v>320.3</v>
      </c>
      <c r="K69" s="128">
        <v>451</v>
      </c>
      <c r="L69" s="129" t="s">
        <v>216</v>
      </c>
      <c r="M69" s="130">
        <v>84915</v>
      </c>
      <c r="N69" s="130">
        <v>83059</v>
      </c>
      <c r="O69" s="130">
        <v>0</v>
      </c>
      <c r="P69" s="130">
        <v>84741</v>
      </c>
      <c r="Q69" s="130">
        <v>87115</v>
      </c>
      <c r="R69" s="130" t="s">
        <v>217</v>
      </c>
      <c r="S69" s="131" t="s">
        <v>389</v>
      </c>
      <c r="T69" s="131"/>
      <c r="U69" s="131"/>
      <c r="V69" s="131"/>
      <c r="W69" s="131"/>
      <c r="X69" s="131"/>
      <c r="Y69" s="13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36"/>
    </row>
    <row r="70" spans="1:51" x14ac:dyDescent="0.2">
      <c r="A70" s="8">
        <v>14700</v>
      </c>
      <c r="B70" s="8" t="s">
        <v>59</v>
      </c>
      <c r="C70" s="8" t="s">
        <v>26</v>
      </c>
      <c r="D70" s="29" t="s">
        <v>3</v>
      </c>
      <c r="E70" s="115"/>
      <c r="F70" s="75">
        <v>40534</v>
      </c>
      <c r="G70" s="36">
        <v>18192</v>
      </c>
      <c r="H70" s="108">
        <f t="shared" si="1"/>
        <v>2.2281222515391379</v>
      </c>
      <c r="I70" s="109">
        <v>10.5</v>
      </c>
      <c r="J70" s="109">
        <v>3868</v>
      </c>
      <c r="K70" s="128">
        <v>456.5</v>
      </c>
      <c r="L70" s="129" t="s">
        <v>216</v>
      </c>
      <c r="M70" s="130">
        <v>18132</v>
      </c>
      <c r="N70" s="130">
        <v>17932</v>
      </c>
      <c r="O70" s="130">
        <v>7203</v>
      </c>
      <c r="P70" s="130">
        <v>0</v>
      </c>
      <c r="Q70" s="130">
        <v>18192</v>
      </c>
      <c r="R70" s="130" t="s">
        <v>227</v>
      </c>
      <c r="S70" s="131"/>
      <c r="T70" s="131"/>
      <c r="U70" s="131"/>
      <c r="V70" s="131"/>
      <c r="W70" s="131"/>
      <c r="X70" s="131"/>
      <c r="Y70" s="13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36"/>
    </row>
    <row r="71" spans="1:51" x14ac:dyDescent="0.2">
      <c r="A71" s="8">
        <v>14750</v>
      </c>
      <c r="B71" s="8" t="s">
        <v>131</v>
      </c>
      <c r="C71" s="8" t="s">
        <v>75</v>
      </c>
      <c r="D71" s="29" t="s">
        <v>1</v>
      </c>
      <c r="E71" s="115" t="s">
        <v>195</v>
      </c>
      <c r="F71" s="75">
        <v>11343</v>
      </c>
      <c r="G71" s="36">
        <v>4170</v>
      </c>
      <c r="H71" s="108">
        <f t="shared" si="1"/>
        <v>2.7201438848920865</v>
      </c>
      <c r="I71" s="109">
        <v>1167.2</v>
      </c>
      <c r="J71" s="109">
        <v>9.6999999999999993</v>
      </c>
      <c r="K71" s="128">
        <v>288</v>
      </c>
      <c r="L71" s="129" t="s">
        <v>216</v>
      </c>
      <c r="M71" s="130">
        <v>4093</v>
      </c>
      <c r="N71" s="130">
        <v>4014</v>
      </c>
      <c r="O71" s="130">
        <v>0</v>
      </c>
      <c r="P71" s="130">
        <v>0</v>
      </c>
      <c r="Q71" s="130">
        <v>0</v>
      </c>
      <c r="R71" s="130" t="s">
        <v>217</v>
      </c>
      <c r="S71" s="131"/>
      <c r="T71" s="131"/>
      <c r="U71" s="131"/>
      <c r="V71" s="131"/>
      <c r="W71" s="131"/>
      <c r="X71" s="131"/>
      <c r="Y71" s="13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36"/>
    </row>
    <row r="72" spans="1:51" x14ac:dyDescent="0.2">
      <c r="A72" s="8">
        <v>14850</v>
      </c>
      <c r="B72" s="8" t="s">
        <v>132</v>
      </c>
      <c r="C72" s="8" t="s">
        <v>20</v>
      </c>
      <c r="D72" s="29" t="s">
        <v>4</v>
      </c>
      <c r="E72" s="115" t="s">
        <v>197</v>
      </c>
      <c r="F72" s="75">
        <v>43667</v>
      </c>
      <c r="G72" s="36">
        <v>18655</v>
      </c>
      <c r="H72" s="108">
        <f t="shared" si="1"/>
        <v>2.3407665505226483</v>
      </c>
      <c r="I72" s="109">
        <v>1287.7</v>
      </c>
      <c r="J72" s="109">
        <v>33.9</v>
      </c>
      <c r="K72" s="128">
        <v>316.2</v>
      </c>
      <c r="L72" s="129" t="s">
        <v>216</v>
      </c>
      <c r="M72" s="130">
        <v>14971</v>
      </c>
      <c r="N72" s="130">
        <v>14971</v>
      </c>
      <c r="O72" s="130">
        <v>0</v>
      </c>
      <c r="P72" s="130">
        <v>12898</v>
      </c>
      <c r="Q72" s="130">
        <v>0</v>
      </c>
      <c r="R72" s="130" t="s">
        <v>217</v>
      </c>
      <c r="S72" s="131" t="s">
        <v>390</v>
      </c>
      <c r="T72" s="131" t="s">
        <v>391</v>
      </c>
      <c r="U72" s="131"/>
      <c r="V72" s="131"/>
      <c r="W72" s="131"/>
      <c r="X72" s="131"/>
      <c r="Y72" s="13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36"/>
    </row>
    <row r="73" spans="1:51" x14ac:dyDescent="0.2">
      <c r="A73" s="8">
        <v>14870</v>
      </c>
      <c r="B73" s="8" t="s">
        <v>133</v>
      </c>
      <c r="C73" s="8" t="s">
        <v>42</v>
      </c>
      <c r="D73" s="29" t="s">
        <v>1</v>
      </c>
      <c r="E73" s="115"/>
      <c r="F73" s="75">
        <v>21516</v>
      </c>
      <c r="G73" s="36">
        <v>11568</v>
      </c>
      <c r="H73" s="108">
        <f t="shared" si="1"/>
        <v>1.8599585062240664</v>
      </c>
      <c r="I73" s="109">
        <v>4512.3</v>
      </c>
      <c r="J73" s="109">
        <v>4.8</v>
      </c>
      <c r="K73" s="128">
        <v>459.81</v>
      </c>
      <c r="L73" s="129" t="s">
        <v>216</v>
      </c>
      <c r="M73" s="130">
        <v>8795</v>
      </c>
      <c r="N73" s="130">
        <v>8760</v>
      </c>
      <c r="O73" s="130">
        <v>0</v>
      </c>
      <c r="P73" s="130">
        <v>0</v>
      </c>
      <c r="Q73" s="130">
        <v>11568</v>
      </c>
      <c r="R73" s="130" t="s">
        <v>217</v>
      </c>
      <c r="S73" s="131" t="s">
        <v>392</v>
      </c>
      <c r="T73" s="131" t="s">
        <v>393</v>
      </c>
      <c r="U73" s="131" t="s">
        <v>394</v>
      </c>
      <c r="V73" s="131" t="s">
        <v>395</v>
      </c>
      <c r="W73" s="131"/>
      <c r="X73" s="131"/>
      <c r="Y73" s="13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36"/>
    </row>
    <row r="74" spans="1:51" x14ac:dyDescent="0.2">
      <c r="A74" s="8">
        <v>14900</v>
      </c>
      <c r="B74" s="8" t="s">
        <v>60</v>
      </c>
      <c r="C74" s="8" t="s">
        <v>19</v>
      </c>
      <c r="D74" s="29" t="s">
        <v>3</v>
      </c>
      <c r="E74" s="115"/>
      <c r="F74" s="75">
        <v>231296</v>
      </c>
      <c r="G74" s="36">
        <v>75696</v>
      </c>
      <c r="H74" s="108">
        <f t="shared" si="1"/>
        <v>3.055590784189389</v>
      </c>
      <c r="I74" s="109">
        <v>305.7</v>
      </c>
      <c r="J74" s="109">
        <v>756.5</v>
      </c>
      <c r="K74" s="128">
        <v>468</v>
      </c>
      <c r="L74" s="129" t="s">
        <v>216</v>
      </c>
      <c r="M74" s="130">
        <v>66214</v>
      </c>
      <c r="N74" s="130">
        <v>66214</v>
      </c>
      <c r="O74" s="130">
        <v>54564</v>
      </c>
      <c r="P74" s="130">
        <v>0</v>
      </c>
      <c r="Q74" s="130">
        <v>75696</v>
      </c>
      <c r="R74" s="130" t="s">
        <v>217</v>
      </c>
      <c r="S74" s="131" t="s">
        <v>396</v>
      </c>
      <c r="T74" s="131"/>
      <c r="U74" s="131"/>
      <c r="V74" s="131"/>
      <c r="W74" s="131"/>
      <c r="X74" s="131"/>
      <c r="Y74" s="13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36"/>
    </row>
    <row r="75" spans="1:51" x14ac:dyDescent="0.2">
      <c r="A75" s="8">
        <v>14920</v>
      </c>
      <c r="B75" s="8" t="s">
        <v>134</v>
      </c>
      <c r="C75" s="8" t="s">
        <v>17</v>
      </c>
      <c r="D75" s="29" t="s">
        <v>1</v>
      </c>
      <c r="E75" s="115" t="s">
        <v>205</v>
      </c>
      <c r="F75" s="75">
        <v>7853</v>
      </c>
      <c r="G75" s="36">
        <v>2825</v>
      </c>
      <c r="H75" s="108">
        <f t="shared" si="1"/>
        <v>2.7798230088495575</v>
      </c>
      <c r="I75" s="109">
        <v>5082.2</v>
      </c>
      <c r="J75" s="109">
        <v>1.5</v>
      </c>
      <c r="K75" s="128">
        <v>408</v>
      </c>
      <c r="L75" s="129" t="s">
        <v>216</v>
      </c>
      <c r="M75" s="130">
        <v>2576</v>
      </c>
      <c r="N75" s="130">
        <v>2556</v>
      </c>
      <c r="O75" s="130">
        <v>0</v>
      </c>
      <c r="P75" s="130">
        <v>0</v>
      </c>
      <c r="Q75" s="130">
        <v>2825</v>
      </c>
      <c r="R75" s="130" t="s">
        <v>217</v>
      </c>
      <c r="S75" s="131"/>
      <c r="T75" s="131"/>
      <c r="U75" s="131"/>
      <c r="V75" s="131"/>
      <c r="W75" s="131"/>
      <c r="X75" s="131"/>
      <c r="Y75" s="13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36"/>
    </row>
    <row r="76" spans="1:51" x14ac:dyDescent="0.2">
      <c r="A76" s="8">
        <v>14950</v>
      </c>
      <c r="B76" s="8" t="s">
        <v>135</v>
      </c>
      <c r="C76" s="8" t="s">
        <v>22</v>
      </c>
      <c r="D76" s="29" t="s">
        <v>1</v>
      </c>
      <c r="E76" s="115" t="s">
        <v>201</v>
      </c>
      <c r="F76" s="75">
        <v>3259</v>
      </c>
      <c r="G76" s="36">
        <v>2642</v>
      </c>
      <c r="H76" s="108">
        <f t="shared" si="1"/>
        <v>1.2335352006056017</v>
      </c>
      <c r="I76" s="109">
        <v>2895.8</v>
      </c>
      <c r="J76" s="109">
        <v>1.1000000000000001</v>
      </c>
      <c r="K76" s="128">
        <v>408</v>
      </c>
      <c r="L76" s="129" t="s">
        <v>216</v>
      </c>
      <c r="M76" s="130">
        <v>2642</v>
      </c>
      <c r="N76" s="130">
        <v>2642</v>
      </c>
      <c r="O76" s="130">
        <v>0</v>
      </c>
      <c r="P76" s="130">
        <v>2642</v>
      </c>
      <c r="Q76" s="130">
        <v>2642</v>
      </c>
      <c r="R76" s="130" t="s">
        <v>217</v>
      </c>
      <c r="S76" s="131"/>
      <c r="T76" s="131"/>
      <c r="U76" s="131"/>
      <c r="V76" s="131"/>
      <c r="W76" s="131"/>
      <c r="X76" s="131"/>
      <c r="Y76" s="13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36"/>
    </row>
    <row r="77" spans="1:51" x14ac:dyDescent="0.2">
      <c r="A77" s="8">
        <v>15050</v>
      </c>
      <c r="B77" s="8" t="s">
        <v>136</v>
      </c>
      <c r="C77" s="8" t="s">
        <v>25</v>
      </c>
      <c r="D77" s="29" t="s">
        <v>2</v>
      </c>
      <c r="E77" s="115" t="s">
        <v>204</v>
      </c>
      <c r="F77" s="75">
        <v>87395</v>
      </c>
      <c r="G77" s="36">
        <v>35810</v>
      </c>
      <c r="H77" s="108">
        <f t="shared" si="1"/>
        <v>2.4405194079865957</v>
      </c>
      <c r="I77" s="109">
        <v>391.5</v>
      </c>
      <c r="J77" s="109">
        <v>223.2</v>
      </c>
      <c r="K77" s="128">
        <v>525.35</v>
      </c>
      <c r="L77" s="129" t="s">
        <v>216</v>
      </c>
      <c r="M77" s="130">
        <v>32906</v>
      </c>
      <c r="N77" s="130">
        <v>32906</v>
      </c>
      <c r="O77" s="130">
        <v>32906</v>
      </c>
      <c r="P77" s="130">
        <v>0</v>
      </c>
      <c r="Q77" s="130">
        <v>35810</v>
      </c>
      <c r="R77" s="130" t="s">
        <v>217</v>
      </c>
      <c r="S77" s="131" t="s">
        <v>397</v>
      </c>
      <c r="T77" s="131"/>
      <c r="U77" s="131"/>
      <c r="V77" s="131"/>
      <c r="W77" s="131"/>
      <c r="X77" s="131"/>
      <c r="Y77" s="13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36"/>
    </row>
    <row r="78" spans="1:51" x14ac:dyDescent="0.2">
      <c r="A78" s="8">
        <v>15240</v>
      </c>
      <c r="B78" s="8" t="s">
        <v>137</v>
      </c>
      <c r="C78" s="8" t="s">
        <v>43</v>
      </c>
      <c r="D78" s="29" t="s">
        <v>4</v>
      </c>
      <c r="E78" s="115" t="s">
        <v>204</v>
      </c>
      <c r="F78" s="75">
        <v>94395</v>
      </c>
      <c r="G78" s="36">
        <v>47401</v>
      </c>
      <c r="H78" s="108">
        <f t="shared" si="1"/>
        <v>1.9914136832556275</v>
      </c>
      <c r="I78" s="109">
        <v>10053.9</v>
      </c>
      <c r="J78" s="109">
        <v>9.4</v>
      </c>
      <c r="K78" s="128">
        <v>370</v>
      </c>
      <c r="L78" s="129" t="s">
        <v>216</v>
      </c>
      <c r="M78" s="130">
        <v>45518</v>
      </c>
      <c r="N78" s="130">
        <v>45143</v>
      </c>
      <c r="O78" s="130">
        <v>37979</v>
      </c>
      <c r="P78" s="130">
        <v>0</v>
      </c>
      <c r="Q78" s="130">
        <v>47401</v>
      </c>
      <c r="R78" s="130" t="s">
        <v>217</v>
      </c>
      <c r="S78" s="131" t="s">
        <v>398</v>
      </c>
      <c r="T78" s="131"/>
      <c r="U78" s="131"/>
      <c r="V78" s="131"/>
      <c r="W78" s="131"/>
      <c r="X78" s="131"/>
      <c r="Y78" s="13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36"/>
    </row>
    <row r="79" spans="1:51" x14ac:dyDescent="0.2">
      <c r="A79" s="8">
        <v>15270</v>
      </c>
      <c r="B79" s="8" t="s">
        <v>138</v>
      </c>
      <c r="C79" s="8" t="s">
        <v>42</v>
      </c>
      <c r="D79" s="29" t="s">
        <v>1</v>
      </c>
      <c r="E79" s="115" t="s">
        <v>202</v>
      </c>
      <c r="F79" s="75">
        <v>25367</v>
      </c>
      <c r="G79" s="36">
        <v>15594</v>
      </c>
      <c r="H79" s="108">
        <f t="shared" si="1"/>
        <v>1.6267154033602669</v>
      </c>
      <c r="I79" s="109">
        <v>8752.2999999999993</v>
      </c>
      <c r="J79" s="109">
        <v>2.9</v>
      </c>
      <c r="K79" s="128">
        <v>297</v>
      </c>
      <c r="L79" s="129" t="s">
        <v>216</v>
      </c>
      <c r="M79" s="130">
        <v>8048</v>
      </c>
      <c r="N79" s="130">
        <v>8048</v>
      </c>
      <c r="O79" s="130">
        <v>0</v>
      </c>
      <c r="P79" s="130">
        <v>8048</v>
      </c>
      <c r="Q79" s="130">
        <v>0</v>
      </c>
      <c r="R79" s="130" t="s">
        <v>217</v>
      </c>
      <c r="S79" s="131" t="s">
        <v>399</v>
      </c>
      <c r="T79" s="131" t="s">
        <v>400</v>
      </c>
      <c r="U79" s="131" t="s">
        <v>401</v>
      </c>
      <c r="V79" s="131"/>
      <c r="W79" s="131"/>
      <c r="X79" s="131"/>
      <c r="Y79" s="13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36"/>
    </row>
    <row r="80" spans="1:51" x14ac:dyDescent="0.2">
      <c r="A80" s="8">
        <v>15300</v>
      </c>
      <c r="B80" s="8" t="s">
        <v>139</v>
      </c>
      <c r="C80" s="8" t="s">
        <v>17</v>
      </c>
      <c r="D80" s="29" t="s">
        <v>1</v>
      </c>
      <c r="E80" s="115" t="s">
        <v>196</v>
      </c>
      <c r="F80" s="75">
        <v>13077</v>
      </c>
      <c r="G80" s="36">
        <v>6359</v>
      </c>
      <c r="H80" s="108">
        <f t="shared" si="1"/>
        <v>2.0564554175184777</v>
      </c>
      <c r="I80" s="109">
        <v>17906.5</v>
      </c>
      <c r="J80" s="109">
        <v>0.7</v>
      </c>
      <c r="K80" s="128">
        <v>440</v>
      </c>
      <c r="L80" s="129" t="s">
        <v>216</v>
      </c>
      <c r="M80" s="130">
        <v>6359</v>
      </c>
      <c r="N80" s="130">
        <v>613</v>
      </c>
      <c r="O80" s="130">
        <v>0</v>
      </c>
      <c r="P80" s="130">
        <v>4658</v>
      </c>
      <c r="Q80" s="130">
        <v>6359</v>
      </c>
      <c r="R80" s="130" t="s">
        <v>217</v>
      </c>
      <c r="S80" s="131" t="s">
        <v>402</v>
      </c>
      <c r="T80" s="131" t="s">
        <v>403</v>
      </c>
      <c r="U80" s="131" t="s">
        <v>404</v>
      </c>
      <c r="V80" s="131" t="s">
        <v>405</v>
      </c>
      <c r="W80" s="131" t="s">
        <v>406</v>
      </c>
      <c r="X80" s="131" t="s">
        <v>407</v>
      </c>
      <c r="Y80" s="131" t="s">
        <v>408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36"/>
    </row>
    <row r="81" spans="1:51" x14ac:dyDescent="0.2">
      <c r="A81" s="8">
        <v>15350</v>
      </c>
      <c r="B81" s="8" t="s">
        <v>140</v>
      </c>
      <c r="C81" s="8" t="s">
        <v>26</v>
      </c>
      <c r="D81" s="29" t="s">
        <v>3</v>
      </c>
      <c r="E81" s="115"/>
      <c r="F81" s="75">
        <v>30785</v>
      </c>
      <c r="G81" s="36">
        <v>13130</v>
      </c>
      <c r="H81" s="108">
        <f t="shared" si="1"/>
        <v>2.3446306169078448</v>
      </c>
      <c r="I81" s="109">
        <v>8.6999999999999993</v>
      </c>
      <c r="J81" s="109">
        <v>3558.8</v>
      </c>
      <c r="K81" s="128">
        <v>620</v>
      </c>
      <c r="L81" s="129" t="s">
        <v>216</v>
      </c>
      <c r="M81" s="130">
        <v>13130</v>
      </c>
      <c r="N81" s="130">
        <v>13130</v>
      </c>
      <c r="O81" s="130">
        <v>13130</v>
      </c>
      <c r="P81" s="130">
        <v>0</v>
      </c>
      <c r="Q81" s="130">
        <v>13130</v>
      </c>
      <c r="R81" s="130" t="s">
        <v>217</v>
      </c>
      <c r="S81" s="131" t="s">
        <v>409</v>
      </c>
      <c r="T81" s="131" t="s">
        <v>410</v>
      </c>
      <c r="U81" s="131"/>
      <c r="V81" s="131"/>
      <c r="W81" s="131"/>
      <c r="X81" s="131"/>
      <c r="Y81" s="13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36"/>
    </row>
    <row r="82" spans="1:51" x14ac:dyDescent="0.2">
      <c r="A82" s="8">
        <v>15520</v>
      </c>
      <c r="B82" s="8" t="s">
        <v>141</v>
      </c>
      <c r="C82" s="8" t="s">
        <v>73</v>
      </c>
      <c r="D82" s="29" t="s">
        <v>1</v>
      </c>
      <c r="E82" s="115" t="s">
        <v>195</v>
      </c>
      <c r="F82" s="75">
        <v>12330</v>
      </c>
      <c r="G82" s="36">
        <v>8982</v>
      </c>
      <c r="H82" s="108">
        <f t="shared" si="1"/>
        <v>1.3727454909819639</v>
      </c>
      <c r="I82" s="109">
        <v>11863.5</v>
      </c>
      <c r="J82" s="109">
        <v>1</v>
      </c>
      <c r="K82" s="128">
        <v>363.52</v>
      </c>
      <c r="L82" s="129" t="s">
        <v>216</v>
      </c>
      <c r="M82" s="130">
        <v>5427</v>
      </c>
      <c r="N82" s="130">
        <v>5271</v>
      </c>
      <c r="O82" s="130">
        <v>2581</v>
      </c>
      <c r="P82" s="130">
        <v>0</v>
      </c>
      <c r="Q82" s="130">
        <v>0</v>
      </c>
      <c r="R82" s="130" t="s">
        <v>217</v>
      </c>
      <c r="S82" s="131" t="s">
        <v>411</v>
      </c>
      <c r="T82" s="131" t="s">
        <v>412</v>
      </c>
      <c r="U82" s="131" t="s">
        <v>413</v>
      </c>
      <c r="V82" s="131" t="s">
        <v>414</v>
      </c>
      <c r="W82" s="131" t="s">
        <v>415</v>
      </c>
      <c r="X82" s="131" t="s">
        <v>416</v>
      </c>
      <c r="Y82" s="131" t="s">
        <v>417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36"/>
    </row>
    <row r="83" spans="1:51" x14ac:dyDescent="0.2">
      <c r="A83" s="8">
        <v>15560</v>
      </c>
      <c r="B83" s="8" t="s">
        <v>142</v>
      </c>
      <c r="C83" s="8" t="s">
        <v>75</v>
      </c>
      <c r="D83" s="29" t="s">
        <v>1</v>
      </c>
      <c r="E83" s="115" t="s">
        <v>195</v>
      </c>
      <c r="F83" s="75">
        <v>3916</v>
      </c>
      <c r="G83" s="36">
        <v>2613</v>
      </c>
      <c r="H83" s="108">
        <f t="shared" si="1"/>
        <v>1.4986605434366629</v>
      </c>
      <c r="I83" s="109">
        <v>6880.8</v>
      </c>
      <c r="J83" s="109">
        <v>0.6</v>
      </c>
      <c r="K83" s="128">
        <v>290</v>
      </c>
      <c r="L83" s="129" t="s">
        <v>216</v>
      </c>
      <c r="M83" s="130">
        <v>941</v>
      </c>
      <c r="N83" s="130">
        <v>811</v>
      </c>
      <c r="O83" s="130">
        <v>0</v>
      </c>
      <c r="P83" s="130">
        <v>0</v>
      </c>
      <c r="Q83" s="130">
        <v>2613</v>
      </c>
      <c r="R83" s="130" t="s">
        <v>217</v>
      </c>
      <c r="S83" s="131" t="s">
        <v>418</v>
      </c>
      <c r="T83" s="131" t="s">
        <v>419</v>
      </c>
      <c r="U83" s="131" t="s">
        <v>420</v>
      </c>
      <c r="V83" s="131" t="s">
        <v>421</v>
      </c>
      <c r="W83" s="131"/>
      <c r="X83" s="131"/>
      <c r="Y83" s="13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36"/>
    </row>
    <row r="84" spans="1:51" x14ac:dyDescent="0.2">
      <c r="A84" s="8">
        <v>15650</v>
      </c>
      <c r="B84" s="8" t="s">
        <v>143</v>
      </c>
      <c r="C84" s="8" t="s">
        <v>25</v>
      </c>
      <c r="D84" s="29" t="s">
        <v>4</v>
      </c>
      <c r="E84" s="115" t="s">
        <v>204</v>
      </c>
      <c r="F84" s="75">
        <v>16355</v>
      </c>
      <c r="G84" s="36">
        <v>8029</v>
      </c>
      <c r="H84" s="108">
        <f t="shared" si="1"/>
        <v>2.0369909079586499</v>
      </c>
      <c r="I84" s="109">
        <v>3404.9</v>
      </c>
      <c r="J84" s="109">
        <v>4.8</v>
      </c>
      <c r="K84" s="128">
        <v>422</v>
      </c>
      <c r="L84" s="129" t="s">
        <v>216</v>
      </c>
      <c r="M84" s="130">
        <v>6251</v>
      </c>
      <c r="N84" s="130">
        <v>6126</v>
      </c>
      <c r="O84" s="130">
        <v>5732</v>
      </c>
      <c r="P84" s="130">
        <v>0</v>
      </c>
      <c r="Q84" s="130">
        <v>8029</v>
      </c>
      <c r="R84" s="130" t="s">
        <v>217</v>
      </c>
      <c r="S84" s="131" t="s">
        <v>422</v>
      </c>
      <c r="T84" s="131" t="s">
        <v>423</v>
      </c>
      <c r="U84" s="131"/>
      <c r="V84" s="131"/>
      <c r="W84" s="131"/>
      <c r="X84" s="131"/>
      <c r="Y84" s="13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36"/>
    </row>
    <row r="85" spans="1:51" x14ac:dyDescent="0.2">
      <c r="A85" s="8">
        <v>15700</v>
      </c>
      <c r="B85" s="8" t="s">
        <v>61</v>
      </c>
      <c r="C85" s="8" t="s">
        <v>43</v>
      </c>
      <c r="D85" s="29" t="s">
        <v>4</v>
      </c>
      <c r="E85" s="115"/>
      <c r="F85" s="75">
        <v>19861</v>
      </c>
      <c r="G85" s="36">
        <v>10166</v>
      </c>
      <c r="H85" s="108">
        <f t="shared" si="1"/>
        <v>1.9536690930552822</v>
      </c>
      <c r="I85" s="109">
        <v>1491.3</v>
      </c>
      <c r="J85" s="109">
        <v>13.3</v>
      </c>
      <c r="K85" s="128">
        <v>543</v>
      </c>
      <c r="L85" s="129" t="s">
        <v>216</v>
      </c>
      <c r="M85" s="130">
        <v>6774</v>
      </c>
      <c r="N85" s="130">
        <v>6774</v>
      </c>
      <c r="O85" s="130">
        <v>0</v>
      </c>
      <c r="P85" s="130">
        <v>6774</v>
      </c>
      <c r="Q85" s="130">
        <v>10166</v>
      </c>
      <c r="R85" s="130" t="s">
        <v>217</v>
      </c>
      <c r="S85" s="131" t="s">
        <v>424</v>
      </c>
      <c r="T85" s="131"/>
      <c r="U85" s="131"/>
      <c r="V85" s="131"/>
      <c r="W85" s="131"/>
      <c r="X85" s="131"/>
      <c r="Y85" s="13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36"/>
    </row>
    <row r="86" spans="1:51" x14ac:dyDescent="0.2">
      <c r="A86" s="8">
        <v>15750</v>
      </c>
      <c r="B86" s="8" t="s">
        <v>144</v>
      </c>
      <c r="C86" s="8" t="s">
        <v>17</v>
      </c>
      <c r="D86" s="29" t="s">
        <v>1</v>
      </c>
      <c r="E86" s="115" t="s">
        <v>196</v>
      </c>
      <c r="F86" s="75">
        <v>13049</v>
      </c>
      <c r="G86" s="36">
        <v>6857</v>
      </c>
      <c r="H86" s="108">
        <f t="shared" si="1"/>
        <v>1.9030188128919352</v>
      </c>
      <c r="I86" s="109">
        <v>13015</v>
      </c>
      <c r="J86" s="109">
        <v>1</v>
      </c>
      <c r="K86" s="128">
        <v>330</v>
      </c>
      <c r="L86" s="129" t="s">
        <v>216</v>
      </c>
      <c r="M86" s="130">
        <v>4362</v>
      </c>
      <c r="N86" s="130">
        <v>4294</v>
      </c>
      <c r="O86" s="130">
        <v>0</v>
      </c>
      <c r="P86" s="130">
        <v>4294</v>
      </c>
      <c r="Q86" s="130">
        <v>6857</v>
      </c>
      <c r="R86" s="130" t="s">
        <v>217</v>
      </c>
      <c r="S86" s="131" t="s">
        <v>425</v>
      </c>
      <c r="T86" s="131"/>
      <c r="U86" s="131"/>
      <c r="V86" s="131"/>
      <c r="W86" s="131"/>
      <c r="X86" s="131"/>
      <c r="Y86" s="13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36"/>
    </row>
    <row r="87" spans="1:51" x14ac:dyDescent="0.2">
      <c r="A87" s="8">
        <v>15800</v>
      </c>
      <c r="B87" s="8" t="s">
        <v>145</v>
      </c>
      <c r="C87" s="8" t="s">
        <v>75</v>
      </c>
      <c r="D87" s="29" t="s">
        <v>1</v>
      </c>
      <c r="E87" s="115" t="s">
        <v>195</v>
      </c>
      <c r="F87" s="75">
        <v>5858</v>
      </c>
      <c r="G87" s="36">
        <v>2575</v>
      </c>
      <c r="H87" s="108">
        <f t="shared" si="1"/>
        <v>2.2749514563106796</v>
      </c>
      <c r="I87" s="109">
        <v>4116.3</v>
      </c>
      <c r="J87" s="109">
        <v>1.4</v>
      </c>
      <c r="K87" s="128">
        <v>221.8</v>
      </c>
      <c r="L87" s="129" t="s">
        <v>216</v>
      </c>
      <c r="M87" s="130">
        <v>2575</v>
      </c>
      <c r="N87" s="130">
        <v>2156</v>
      </c>
      <c r="O87" s="130">
        <v>0</v>
      </c>
      <c r="P87" s="130">
        <v>0</v>
      </c>
      <c r="Q87" s="130">
        <v>2575</v>
      </c>
      <c r="R87" s="130" t="s">
        <v>217</v>
      </c>
      <c r="S87" s="131" t="s">
        <v>426</v>
      </c>
      <c r="T87" s="131" t="s">
        <v>427</v>
      </c>
      <c r="U87" s="131"/>
      <c r="V87" s="131"/>
      <c r="W87" s="131"/>
      <c r="X87" s="131"/>
      <c r="Y87" s="13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36"/>
    </row>
    <row r="88" spans="1:51" x14ac:dyDescent="0.2">
      <c r="A88" s="8">
        <v>15850</v>
      </c>
      <c r="B88" s="8" t="s">
        <v>146</v>
      </c>
      <c r="C88" s="8" t="s">
        <v>42</v>
      </c>
      <c r="D88" s="29" t="s">
        <v>1</v>
      </c>
      <c r="E88" s="115" t="s">
        <v>202</v>
      </c>
      <c r="F88" s="75">
        <v>6460</v>
      </c>
      <c r="G88" s="36">
        <v>3363</v>
      </c>
      <c r="H88" s="108">
        <f t="shared" si="1"/>
        <v>1.9209039548022599</v>
      </c>
      <c r="I88" s="109">
        <v>5261.5</v>
      </c>
      <c r="J88" s="109">
        <v>1.2</v>
      </c>
      <c r="K88" s="128">
        <v>584</v>
      </c>
      <c r="L88" s="129" t="s">
        <v>216</v>
      </c>
      <c r="M88" s="130">
        <v>2049</v>
      </c>
      <c r="N88" s="130">
        <v>1935</v>
      </c>
      <c r="O88" s="130">
        <v>0</v>
      </c>
      <c r="P88" s="130">
        <v>1935</v>
      </c>
      <c r="Q88" s="130">
        <v>3363</v>
      </c>
      <c r="R88" s="130" t="s">
        <v>227</v>
      </c>
      <c r="S88" s="131"/>
      <c r="T88" s="131"/>
      <c r="U88" s="131"/>
      <c r="V88" s="131"/>
      <c r="W88" s="131"/>
      <c r="X88" s="131"/>
      <c r="Y88" s="13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36"/>
    </row>
    <row r="89" spans="1:51" x14ac:dyDescent="0.2">
      <c r="A89" s="8">
        <v>15900</v>
      </c>
      <c r="B89" s="8" t="s">
        <v>147</v>
      </c>
      <c r="C89" s="8" t="s">
        <v>25</v>
      </c>
      <c r="D89" s="29" t="s">
        <v>2</v>
      </c>
      <c r="E89" s="115" t="s">
        <v>204</v>
      </c>
      <c r="F89" s="75">
        <v>167363</v>
      </c>
      <c r="G89" s="36">
        <v>72935</v>
      </c>
      <c r="H89" s="108">
        <f t="shared" si="1"/>
        <v>2.2946870501131142</v>
      </c>
      <c r="I89" s="109">
        <v>186.8</v>
      </c>
      <c r="J89" s="109">
        <v>896.2</v>
      </c>
      <c r="K89" s="128">
        <v>374.52</v>
      </c>
      <c r="L89" s="129" t="s">
        <v>216</v>
      </c>
      <c r="M89" s="130">
        <v>51728</v>
      </c>
      <c r="N89" s="130">
        <v>52056</v>
      </c>
      <c r="O89" s="130">
        <v>52523</v>
      </c>
      <c r="P89" s="130">
        <v>0</v>
      </c>
      <c r="Q89" s="130">
        <v>72935</v>
      </c>
      <c r="R89" s="130" t="s">
        <v>217</v>
      </c>
      <c r="S89" s="131" t="s">
        <v>428</v>
      </c>
      <c r="T89" s="131"/>
      <c r="U89" s="131"/>
      <c r="V89" s="131"/>
      <c r="W89" s="131"/>
      <c r="X89" s="131"/>
      <c r="Y89" s="13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36"/>
    </row>
    <row r="90" spans="1:51" x14ac:dyDescent="0.2">
      <c r="A90" s="8">
        <v>15950</v>
      </c>
      <c r="B90" s="8" t="s">
        <v>62</v>
      </c>
      <c r="C90" s="8" t="s">
        <v>26</v>
      </c>
      <c r="D90" s="29" t="s">
        <v>3</v>
      </c>
      <c r="E90" s="115"/>
      <c r="F90" s="75">
        <v>75094</v>
      </c>
      <c r="G90" s="36">
        <v>40704</v>
      </c>
      <c r="H90" s="108">
        <f t="shared" si="1"/>
        <v>1.8448801100628931</v>
      </c>
      <c r="I90" s="109">
        <v>10.5</v>
      </c>
      <c r="J90" s="109">
        <v>7161.6</v>
      </c>
      <c r="K90" s="128">
        <v>420</v>
      </c>
      <c r="L90" s="129" t="s">
        <v>216</v>
      </c>
      <c r="M90" s="130">
        <v>39026</v>
      </c>
      <c r="N90" s="130">
        <v>40704</v>
      </c>
      <c r="O90" s="130">
        <v>0</v>
      </c>
      <c r="P90" s="130">
        <v>0</v>
      </c>
      <c r="Q90" s="130">
        <v>40704</v>
      </c>
      <c r="R90" s="130" t="s">
        <v>217</v>
      </c>
      <c r="S90" s="131" t="s">
        <v>429</v>
      </c>
      <c r="T90" s="131"/>
      <c r="U90" s="131"/>
      <c r="V90" s="131"/>
      <c r="W90" s="131"/>
      <c r="X90" s="131"/>
      <c r="Y90" s="13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36"/>
    </row>
    <row r="91" spans="1:51" x14ac:dyDescent="0.2">
      <c r="A91" s="8">
        <v>15990</v>
      </c>
      <c r="B91" s="8" t="s">
        <v>148</v>
      </c>
      <c r="C91" s="8"/>
      <c r="D91" s="29" t="s">
        <v>3</v>
      </c>
      <c r="E91" s="115"/>
      <c r="F91" s="75">
        <v>274041</v>
      </c>
      <c r="G91" s="36">
        <v>114860</v>
      </c>
      <c r="H91" s="108">
        <f t="shared" si="1"/>
        <v>2.3858697544837195</v>
      </c>
      <c r="I91" s="109">
        <v>254.2</v>
      </c>
      <c r="J91" s="109">
        <v>1078</v>
      </c>
      <c r="K91" s="128">
        <v>446</v>
      </c>
      <c r="L91" s="129" t="s">
        <v>216</v>
      </c>
      <c r="M91" s="130">
        <v>112806</v>
      </c>
      <c r="N91" s="130">
        <v>112806</v>
      </c>
      <c r="O91" s="130">
        <v>112806</v>
      </c>
      <c r="P91" s="130">
        <v>0</v>
      </c>
      <c r="Q91" s="130">
        <v>114860</v>
      </c>
      <c r="R91" s="130" t="s">
        <v>217</v>
      </c>
      <c r="S91" s="131" t="s">
        <v>430</v>
      </c>
      <c r="T91" s="131" t="s">
        <v>431</v>
      </c>
      <c r="U91" s="131" t="s">
        <v>432</v>
      </c>
      <c r="V91" s="131"/>
      <c r="W91" s="131"/>
      <c r="X91" s="131"/>
      <c r="Y91" s="13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36"/>
    </row>
    <row r="92" spans="1:51" x14ac:dyDescent="0.2">
      <c r="A92" s="8">
        <v>16100</v>
      </c>
      <c r="B92" s="8" t="s">
        <v>149</v>
      </c>
      <c r="C92" s="8" t="s">
        <v>42</v>
      </c>
      <c r="D92" s="29" t="s">
        <v>1</v>
      </c>
      <c r="E92" s="115" t="s">
        <v>199</v>
      </c>
      <c r="F92" s="75">
        <v>5419</v>
      </c>
      <c r="G92" s="36">
        <v>3931</v>
      </c>
      <c r="H92" s="108">
        <f t="shared" si="1"/>
        <v>1.3785296362248791</v>
      </c>
      <c r="I92" s="109">
        <v>3625</v>
      </c>
      <c r="J92" s="109">
        <v>1.5</v>
      </c>
      <c r="K92" s="128">
        <v>213</v>
      </c>
      <c r="L92" s="129" t="s">
        <v>216</v>
      </c>
      <c r="M92" s="130">
        <v>1498</v>
      </c>
      <c r="N92" s="130">
        <v>0</v>
      </c>
      <c r="O92" s="130">
        <v>0</v>
      </c>
      <c r="P92" s="130">
        <v>0</v>
      </c>
      <c r="Q92" s="130">
        <v>3931</v>
      </c>
      <c r="R92" s="130" t="s">
        <v>217</v>
      </c>
      <c r="S92" s="131" t="s">
        <v>149</v>
      </c>
      <c r="T92" s="131" t="s">
        <v>433</v>
      </c>
      <c r="U92" s="131" t="s">
        <v>434</v>
      </c>
      <c r="V92" s="131"/>
      <c r="W92" s="131"/>
      <c r="X92" s="131"/>
      <c r="Y92" s="13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36"/>
    </row>
    <row r="93" spans="1:51" x14ac:dyDescent="0.2">
      <c r="A93" s="8">
        <v>16150</v>
      </c>
      <c r="B93" s="8" t="s">
        <v>150</v>
      </c>
      <c r="C93" s="8" t="s">
        <v>42</v>
      </c>
      <c r="D93" s="29" t="s">
        <v>1</v>
      </c>
      <c r="E93" s="115" t="s">
        <v>199</v>
      </c>
      <c r="F93" s="75">
        <v>42503</v>
      </c>
      <c r="G93" s="36">
        <v>19213</v>
      </c>
      <c r="H93" s="108">
        <f t="shared" si="1"/>
        <v>2.2122000728673292</v>
      </c>
      <c r="I93" s="109">
        <v>284.2</v>
      </c>
      <c r="J93" s="109">
        <v>149.5</v>
      </c>
      <c r="K93" s="128">
        <v>445.35</v>
      </c>
      <c r="L93" s="129" t="s">
        <v>216</v>
      </c>
      <c r="M93" s="130">
        <v>16745</v>
      </c>
      <c r="N93" s="130">
        <v>16739</v>
      </c>
      <c r="O93" s="130">
        <v>0</v>
      </c>
      <c r="P93" s="130">
        <v>17061</v>
      </c>
      <c r="Q93" s="130">
        <v>19213</v>
      </c>
      <c r="R93" s="130" t="s">
        <v>217</v>
      </c>
      <c r="S93" s="131" t="s">
        <v>435</v>
      </c>
      <c r="T93" s="131" t="s">
        <v>436</v>
      </c>
      <c r="U93" s="131"/>
      <c r="V93" s="131"/>
      <c r="W93" s="131"/>
      <c r="X93" s="131"/>
      <c r="Y93" s="13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36"/>
    </row>
    <row r="94" spans="1:51" x14ac:dyDescent="0.2">
      <c r="A94" s="8">
        <v>16200</v>
      </c>
      <c r="B94" s="8" t="s">
        <v>151</v>
      </c>
      <c r="C94" s="8" t="s">
        <v>42</v>
      </c>
      <c r="D94" s="29" t="s">
        <v>1</v>
      </c>
      <c r="E94" s="115" t="s">
        <v>199</v>
      </c>
      <c r="F94" s="75">
        <v>14728</v>
      </c>
      <c r="G94" s="36">
        <v>8183</v>
      </c>
      <c r="H94" s="108">
        <f t="shared" si="1"/>
        <v>1.7998289136013688</v>
      </c>
      <c r="I94" s="109">
        <v>5957.6</v>
      </c>
      <c r="J94" s="109">
        <v>2.5</v>
      </c>
      <c r="K94" s="128">
        <v>431</v>
      </c>
      <c r="L94" s="129" t="s">
        <v>216</v>
      </c>
      <c r="M94" s="130">
        <v>5335</v>
      </c>
      <c r="N94" s="130">
        <v>5209</v>
      </c>
      <c r="O94" s="130">
        <v>0</v>
      </c>
      <c r="P94" s="130">
        <v>5209</v>
      </c>
      <c r="Q94" s="130">
        <v>8183</v>
      </c>
      <c r="R94" s="130" t="s">
        <v>217</v>
      </c>
      <c r="S94" s="131" t="s">
        <v>437</v>
      </c>
      <c r="T94" s="131" t="s">
        <v>438</v>
      </c>
      <c r="U94" s="131" t="s">
        <v>439</v>
      </c>
      <c r="V94" s="131" t="s">
        <v>440</v>
      </c>
      <c r="W94" s="131" t="s">
        <v>441</v>
      </c>
      <c r="X94" s="131" t="s">
        <v>442</v>
      </c>
      <c r="Y94" s="131" t="s">
        <v>443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36"/>
    </row>
    <row r="95" spans="1:51" x14ac:dyDescent="0.2">
      <c r="A95" s="8">
        <v>16260</v>
      </c>
      <c r="B95" s="8" t="s">
        <v>63</v>
      </c>
      <c r="C95" s="8" t="s">
        <v>19</v>
      </c>
      <c r="D95" s="29" t="s">
        <v>3</v>
      </c>
      <c r="E95" s="115"/>
      <c r="F95" s="75">
        <v>260296</v>
      </c>
      <c r="G95" s="36">
        <v>99188</v>
      </c>
      <c r="H95" s="108">
        <f t="shared" si="1"/>
        <v>2.6242690648062266</v>
      </c>
      <c r="I95" s="109">
        <v>83.8</v>
      </c>
      <c r="J95" s="109">
        <v>3105.1</v>
      </c>
      <c r="K95" s="128">
        <v>440.8</v>
      </c>
      <c r="L95" s="129" t="s">
        <v>216</v>
      </c>
      <c r="M95" s="130">
        <v>87570</v>
      </c>
      <c r="N95" s="130">
        <v>87551</v>
      </c>
      <c r="O95" s="130">
        <v>87492</v>
      </c>
      <c r="P95" s="130">
        <v>0</v>
      </c>
      <c r="Q95" s="130">
        <v>99188</v>
      </c>
      <c r="R95" s="130" t="s">
        <v>217</v>
      </c>
      <c r="S95" s="131"/>
      <c r="T95" s="131"/>
      <c r="U95" s="131"/>
      <c r="V95" s="131"/>
      <c r="W95" s="131"/>
      <c r="X95" s="131"/>
      <c r="Y95" s="13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36"/>
    </row>
    <row r="96" spans="1:51" x14ac:dyDescent="0.2">
      <c r="A96" s="8">
        <v>16350</v>
      </c>
      <c r="B96" s="8" t="s">
        <v>64</v>
      </c>
      <c r="C96" s="8" t="s">
        <v>19</v>
      </c>
      <c r="D96" s="29" t="s">
        <v>3</v>
      </c>
      <c r="E96" s="115"/>
      <c r="F96" s="75">
        <v>216282</v>
      </c>
      <c r="G96" s="36">
        <v>81203</v>
      </c>
      <c r="H96" s="108">
        <f t="shared" si="1"/>
        <v>2.6634730243956506</v>
      </c>
      <c r="I96" s="109">
        <v>404.7</v>
      </c>
      <c r="J96" s="109">
        <v>534.4</v>
      </c>
      <c r="K96" s="128">
        <v>399</v>
      </c>
      <c r="L96" s="129" t="s">
        <v>216</v>
      </c>
      <c r="M96" s="130">
        <v>80006</v>
      </c>
      <c r="N96" s="130">
        <v>80006</v>
      </c>
      <c r="O96" s="130">
        <v>0</v>
      </c>
      <c r="P96" s="130">
        <v>66673</v>
      </c>
      <c r="Q96" s="130">
        <v>81203</v>
      </c>
      <c r="R96" s="130" t="s">
        <v>227</v>
      </c>
      <c r="S96" s="131" t="s">
        <v>444</v>
      </c>
      <c r="T96" s="131" t="s">
        <v>445</v>
      </c>
      <c r="U96" s="131" t="s">
        <v>446</v>
      </c>
      <c r="V96" s="131"/>
      <c r="W96" s="131"/>
      <c r="X96" s="131"/>
      <c r="Y96" s="13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36"/>
    </row>
    <row r="97" spans="1:51" x14ac:dyDescent="0.2">
      <c r="A97" s="8">
        <v>16380</v>
      </c>
      <c r="B97" s="8" t="s">
        <v>152</v>
      </c>
      <c r="C97" s="8" t="s">
        <v>43</v>
      </c>
      <c r="D97" s="29" t="s">
        <v>4</v>
      </c>
      <c r="E97" s="115" t="s">
        <v>200</v>
      </c>
      <c r="F97" s="75">
        <v>85952</v>
      </c>
      <c r="G97" s="36">
        <v>38101</v>
      </c>
      <c r="H97" s="108">
        <f t="shared" si="1"/>
        <v>2.2558987953072096</v>
      </c>
      <c r="I97" s="109">
        <v>3682.4</v>
      </c>
      <c r="J97" s="109">
        <v>23.3</v>
      </c>
      <c r="K97" s="128">
        <v>488</v>
      </c>
      <c r="L97" s="129" t="s">
        <v>216</v>
      </c>
      <c r="M97" s="130">
        <v>30086</v>
      </c>
      <c r="N97" s="130">
        <v>32352</v>
      </c>
      <c r="O97" s="130">
        <v>0</v>
      </c>
      <c r="P97" s="130">
        <v>29166</v>
      </c>
      <c r="Q97" s="130">
        <v>38101</v>
      </c>
      <c r="R97" s="130" t="s">
        <v>217</v>
      </c>
      <c r="S97" s="131" t="s">
        <v>447</v>
      </c>
      <c r="T97" s="131" t="s">
        <v>448</v>
      </c>
      <c r="U97" s="131" t="s">
        <v>449</v>
      </c>
      <c r="V97" s="131" t="s">
        <v>450</v>
      </c>
      <c r="W97" s="131" t="s">
        <v>451</v>
      </c>
      <c r="X97" s="131"/>
      <c r="Y97" s="13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36"/>
    </row>
    <row r="98" spans="1:51" x14ac:dyDescent="0.2">
      <c r="A98" s="8">
        <v>16400</v>
      </c>
      <c r="B98" s="8" t="s">
        <v>65</v>
      </c>
      <c r="C98" s="8" t="s">
        <v>25</v>
      </c>
      <c r="D98" s="29" t="s">
        <v>2</v>
      </c>
      <c r="E98" s="115" t="s">
        <v>204</v>
      </c>
      <c r="F98" s="75">
        <v>74506</v>
      </c>
      <c r="G98" s="36">
        <v>36766</v>
      </c>
      <c r="H98" s="108">
        <f t="shared" si="1"/>
        <v>2.0264918674862646</v>
      </c>
      <c r="I98" s="109">
        <v>858.4</v>
      </c>
      <c r="J98" s="109">
        <v>86.8</v>
      </c>
      <c r="K98" s="128">
        <v>452</v>
      </c>
      <c r="L98" s="129" t="s">
        <v>216</v>
      </c>
      <c r="M98" s="130">
        <v>27499</v>
      </c>
      <c r="N98" s="130">
        <v>25566</v>
      </c>
      <c r="O98" s="130">
        <v>0</v>
      </c>
      <c r="P98" s="130">
        <v>0</v>
      </c>
      <c r="Q98" s="130">
        <v>36766</v>
      </c>
      <c r="R98" s="130" t="s">
        <v>217</v>
      </c>
      <c r="S98" s="131" t="s">
        <v>452</v>
      </c>
      <c r="T98" s="131"/>
      <c r="U98" s="131"/>
      <c r="V98" s="131"/>
      <c r="W98" s="131"/>
      <c r="X98" s="131"/>
      <c r="Y98" s="13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36"/>
    </row>
    <row r="99" spans="1:51" x14ac:dyDescent="0.2">
      <c r="A99" s="8">
        <v>16490</v>
      </c>
      <c r="B99" s="8" t="s">
        <v>153</v>
      </c>
      <c r="C99" s="8" t="s">
        <v>74</v>
      </c>
      <c r="D99" s="29" t="s">
        <v>1</v>
      </c>
      <c r="E99" s="115" t="s">
        <v>74</v>
      </c>
      <c r="F99" s="75">
        <v>62239</v>
      </c>
      <c r="G99" s="36">
        <v>22370</v>
      </c>
      <c r="H99" s="108">
        <f t="shared" si="1"/>
        <v>2.7822530174340634</v>
      </c>
      <c r="I99" s="109">
        <v>5318.9</v>
      </c>
      <c r="J99" s="109">
        <v>11.7</v>
      </c>
      <c r="K99" s="128">
        <v>337</v>
      </c>
      <c r="L99" s="129" t="s">
        <v>216</v>
      </c>
      <c r="M99" s="130">
        <v>20751</v>
      </c>
      <c r="N99" s="130">
        <v>21266</v>
      </c>
      <c r="O99" s="130">
        <v>14342</v>
      </c>
      <c r="P99" s="130">
        <v>2290</v>
      </c>
      <c r="Q99" s="130">
        <v>22370</v>
      </c>
      <c r="R99" s="130" t="s">
        <v>217</v>
      </c>
      <c r="S99" s="131" t="s">
        <v>453</v>
      </c>
      <c r="T99" s="131" t="s">
        <v>454</v>
      </c>
      <c r="U99" s="131" t="s">
        <v>455</v>
      </c>
      <c r="V99" s="131" t="s">
        <v>456</v>
      </c>
      <c r="W99" s="131" t="s">
        <v>457</v>
      </c>
      <c r="X99" s="131" t="s">
        <v>458</v>
      </c>
      <c r="Y99" s="13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36"/>
    </row>
    <row r="100" spans="1:51" x14ac:dyDescent="0.2">
      <c r="A100" s="8">
        <v>16550</v>
      </c>
      <c r="B100" s="8" t="s">
        <v>66</v>
      </c>
      <c r="C100" s="8" t="s">
        <v>18</v>
      </c>
      <c r="D100" s="29" t="s">
        <v>3</v>
      </c>
      <c r="E100" s="115"/>
      <c r="F100" s="75">
        <v>156619</v>
      </c>
      <c r="G100" s="36">
        <v>59726</v>
      </c>
      <c r="H100" s="108">
        <f t="shared" si="1"/>
        <v>2.6222917992164216</v>
      </c>
      <c r="I100" s="109">
        <v>36.299999999999997</v>
      </c>
      <c r="J100" s="109">
        <v>4310.8999999999996</v>
      </c>
      <c r="K100" s="128">
        <v>604.75</v>
      </c>
      <c r="L100" s="129" t="s">
        <v>216</v>
      </c>
      <c r="M100" s="130">
        <v>58388</v>
      </c>
      <c r="N100" s="130">
        <v>59328</v>
      </c>
      <c r="O100" s="130">
        <v>59692</v>
      </c>
      <c r="P100" s="130">
        <v>59692</v>
      </c>
      <c r="Q100" s="130">
        <v>59726</v>
      </c>
      <c r="R100" s="130" t="s">
        <v>217</v>
      </c>
      <c r="S100" s="131" t="s">
        <v>459</v>
      </c>
      <c r="T100" s="131"/>
      <c r="U100" s="131"/>
      <c r="V100" s="131"/>
      <c r="W100" s="131"/>
      <c r="X100" s="131"/>
      <c r="Y100" s="13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36"/>
    </row>
    <row r="101" spans="1:51" x14ac:dyDescent="0.2">
      <c r="A101" s="8">
        <v>16610</v>
      </c>
      <c r="B101" s="8" t="s">
        <v>154</v>
      </c>
      <c r="C101" s="8" t="s">
        <v>20</v>
      </c>
      <c r="D101" s="29" t="s">
        <v>4</v>
      </c>
      <c r="E101" s="115" t="s">
        <v>197</v>
      </c>
      <c r="F101" s="75">
        <v>23490</v>
      </c>
      <c r="G101" s="36">
        <v>10015</v>
      </c>
      <c r="H101" s="108">
        <f t="shared" si="1"/>
        <v>2.3454817773339989</v>
      </c>
      <c r="I101" s="109">
        <v>3047.4</v>
      </c>
      <c r="J101" s="109">
        <v>7.7</v>
      </c>
      <c r="K101" s="128">
        <v>593</v>
      </c>
      <c r="L101" s="129" t="s">
        <v>216</v>
      </c>
      <c r="M101" s="130">
        <v>7165</v>
      </c>
      <c r="N101" s="130">
        <v>7165</v>
      </c>
      <c r="O101" s="130">
        <v>0</v>
      </c>
      <c r="P101" s="130">
        <v>7165</v>
      </c>
      <c r="Q101" s="130">
        <v>0</v>
      </c>
      <c r="R101" s="130" t="s">
        <v>217</v>
      </c>
      <c r="S101" s="131" t="s">
        <v>460</v>
      </c>
      <c r="T101" s="131" t="s">
        <v>461</v>
      </c>
      <c r="U101" s="131" t="s">
        <v>462</v>
      </c>
      <c r="V101" s="131"/>
      <c r="W101" s="131"/>
      <c r="X101" s="131"/>
      <c r="Y101" s="13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36"/>
    </row>
    <row r="102" spans="1:51" x14ac:dyDescent="0.2">
      <c r="A102" s="8">
        <v>16700</v>
      </c>
      <c r="B102" s="8" t="s">
        <v>67</v>
      </c>
      <c r="C102" s="8" t="s">
        <v>26</v>
      </c>
      <c r="D102" s="29" t="s">
        <v>3</v>
      </c>
      <c r="E102" s="115"/>
      <c r="F102" s="75">
        <v>133224</v>
      </c>
      <c r="G102" s="36">
        <v>51509</v>
      </c>
      <c r="H102" s="108">
        <f t="shared" si="1"/>
        <v>2.5864217903667321</v>
      </c>
      <c r="I102" s="109">
        <v>40.5</v>
      </c>
      <c r="J102" s="109">
        <v>3291.5</v>
      </c>
      <c r="K102" s="128">
        <v>433</v>
      </c>
      <c r="L102" s="129" t="s">
        <v>216</v>
      </c>
      <c r="M102" s="130">
        <v>34664</v>
      </c>
      <c r="N102" s="130">
        <v>35985</v>
      </c>
      <c r="O102" s="130">
        <v>28525</v>
      </c>
      <c r="P102" s="130">
        <v>0</v>
      </c>
      <c r="Q102" s="130">
        <v>51509</v>
      </c>
      <c r="R102" s="130" t="s">
        <v>217</v>
      </c>
      <c r="S102" s="131"/>
      <c r="T102" s="131"/>
      <c r="U102" s="131"/>
      <c r="V102" s="131"/>
      <c r="W102" s="131"/>
      <c r="X102" s="131"/>
      <c r="Y102" s="13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36"/>
    </row>
    <row r="103" spans="1:51" x14ac:dyDescent="0.2">
      <c r="A103" s="8">
        <v>16900</v>
      </c>
      <c r="B103" s="8" t="s">
        <v>155</v>
      </c>
      <c r="C103" s="8" t="s">
        <v>41</v>
      </c>
      <c r="D103" s="29" t="s">
        <v>2</v>
      </c>
      <c r="E103" s="115" t="s">
        <v>41</v>
      </c>
      <c r="F103" s="75">
        <v>74622</v>
      </c>
      <c r="G103" s="36">
        <v>29784</v>
      </c>
      <c r="H103" s="108">
        <f t="shared" si="1"/>
        <v>2.5054391619661565</v>
      </c>
      <c r="I103" s="109">
        <v>147.4</v>
      </c>
      <c r="J103" s="109">
        <v>506.2</v>
      </c>
      <c r="K103" s="128">
        <v>570</v>
      </c>
      <c r="L103" s="129" t="s">
        <v>216</v>
      </c>
      <c r="M103" s="130">
        <v>28391</v>
      </c>
      <c r="N103" s="130">
        <v>28621</v>
      </c>
      <c r="O103" s="130">
        <v>0</v>
      </c>
      <c r="P103" s="130">
        <v>28621</v>
      </c>
      <c r="Q103" s="130">
        <v>29784</v>
      </c>
      <c r="R103" s="130" t="s">
        <v>217</v>
      </c>
      <c r="S103" s="131" t="s">
        <v>463</v>
      </c>
      <c r="T103" s="131"/>
      <c r="U103" s="131"/>
      <c r="V103" s="131"/>
      <c r="W103" s="131"/>
      <c r="X103" s="131"/>
      <c r="Y103" s="13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36"/>
    </row>
    <row r="104" spans="1:51" x14ac:dyDescent="0.2">
      <c r="A104" s="8">
        <v>16950</v>
      </c>
      <c r="B104" s="8" t="s">
        <v>156</v>
      </c>
      <c r="C104" s="8" t="s">
        <v>41</v>
      </c>
      <c r="D104" s="29" t="s">
        <v>2</v>
      </c>
      <c r="E104" s="115" t="s">
        <v>41</v>
      </c>
      <c r="F104" s="75">
        <v>107191</v>
      </c>
      <c r="G104" s="36">
        <v>57387</v>
      </c>
      <c r="H104" s="108">
        <f t="shared" si="1"/>
        <v>1.867862059351421</v>
      </c>
      <c r="I104" s="109">
        <v>4566.7</v>
      </c>
      <c r="J104" s="109">
        <v>23.5</v>
      </c>
      <c r="K104" s="128">
        <v>385</v>
      </c>
      <c r="L104" s="129" t="s">
        <v>216</v>
      </c>
      <c r="M104" s="130">
        <v>51636</v>
      </c>
      <c r="N104" s="130">
        <v>52912</v>
      </c>
      <c r="O104" s="130">
        <v>0</v>
      </c>
      <c r="P104" s="130">
        <v>0</v>
      </c>
      <c r="Q104" s="130">
        <v>57387</v>
      </c>
      <c r="R104" s="130" t="s">
        <v>217</v>
      </c>
      <c r="S104" s="131" t="s">
        <v>464</v>
      </c>
      <c r="T104" s="131" t="s">
        <v>465</v>
      </c>
      <c r="U104" s="131" t="s">
        <v>466</v>
      </c>
      <c r="V104" s="131" t="s">
        <v>467</v>
      </c>
      <c r="W104" s="131" t="s">
        <v>468</v>
      </c>
      <c r="X104" s="131" t="s">
        <v>469</v>
      </c>
      <c r="Y104" s="131" t="s">
        <v>470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36"/>
    </row>
    <row r="105" spans="1:51" x14ac:dyDescent="0.2">
      <c r="A105" s="8">
        <v>17000</v>
      </c>
      <c r="B105" s="8" t="s">
        <v>157</v>
      </c>
      <c r="C105" s="8" t="s">
        <v>25</v>
      </c>
      <c r="D105" s="29" t="s">
        <v>4</v>
      </c>
      <c r="E105" s="115" t="s">
        <v>204</v>
      </c>
      <c r="F105" s="75">
        <v>23380</v>
      </c>
      <c r="G105" s="36">
        <v>11194</v>
      </c>
      <c r="H105" s="108">
        <f t="shared" si="1"/>
        <v>2.0886189029837414</v>
      </c>
      <c r="I105" s="109">
        <v>4892.7</v>
      </c>
      <c r="J105" s="109">
        <v>4.8</v>
      </c>
      <c r="K105" s="128">
        <v>451</v>
      </c>
      <c r="L105" s="129" t="s">
        <v>216</v>
      </c>
      <c r="M105" s="130">
        <v>8798</v>
      </c>
      <c r="N105" s="130">
        <v>8905</v>
      </c>
      <c r="O105" s="130">
        <v>6706</v>
      </c>
      <c r="P105" s="130">
        <v>0</v>
      </c>
      <c r="Q105" s="130">
        <v>11194</v>
      </c>
      <c r="R105" s="130" t="s">
        <v>217</v>
      </c>
      <c r="S105" s="131" t="s">
        <v>471</v>
      </c>
      <c r="T105" s="131" t="s">
        <v>472</v>
      </c>
      <c r="U105" s="131"/>
      <c r="V105" s="131"/>
      <c r="W105" s="131"/>
      <c r="X105" s="131"/>
      <c r="Y105" s="13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36"/>
    </row>
    <row r="106" spans="1:51" x14ac:dyDescent="0.2">
      <c r="A106" s="8">
        <v>17040</v>
      </c>
      <c r="B106" s="8" t="s">
        <v>158</v>
      </c>
      <c r="C106" s="8" t="s">
        <v>74</v>
      </c>
      <c r="D106" s="29" t="s">
        <v>1</v>
      </c>
      <c r="E106" s="115" t="s">
        <v>74</v>
      </c>
      <c r="F106" s="75">
        <v>20997</v>
      </c>
      <c r="G106" s="36">
        <v>10506</v>
      </c>
      <c r="H106" s="108">
        <f t="shared" si="1"/>
        <v>1.9985722444317533</v>
      </c>
      <c r="I106" s="109">
        <v>15163.5</v>
      </c>
      <c r="J106" s="109">
        <v>1.4</v>
      </c>
      <c r="K106" s="128">
        <v>509</v>
      </c>
      <c r="L106" s="129" t="s">
        <v>216</v>
      </c>
      <c r="M106" s="130">
        <v>7824</v>
      </c>
      <c r="N106" s="130">
        <v>7477</v>
      </c>
      <c r="O106" s="130">
        <v>0</v>
      </c>
      <c r="P106" s="130">
        <v>2765</v>
      </c>
      <c r="Q106" s="130">
        <v>0</v>
      </c>
      <c r="R106" s="130" t="s">
        <v>217</v>
      </c>
      <c r="S106" s="131" t="s">
        <v>473</v>
      </c>
      <c r="T106" s="131" t="s">
        <v>474</v>
      </c>
      <c r="U106" s="131" t="s">
        <v>475</v>
      </c>
      <c r="V106" s="131" t="s">
        <v>476</v>
      </c>
      <c r="W106" s="131" t="s">
        <v>477</v>
      </c>
      <c r="X106" s="131" t="s">
        <v>478</v>
      </c>
      <c r="Y106" s="131" t="s">
        <v>479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36"/>
    </row>
    <row r="107" spans="1:51" x14ac:dyDescent="0.2">
      <c r="A107" s="8">
        <v>17080</v>
      </c>
      <c r="B107" s="8" t="s">
        <v>159</v>
      </c>
      <c r="C107" s="8" t="s">
        <v>74</v>
      </c>
      <c r="D107" s="29" t="s">
        <v>1</v>
      </c>
      <c r="E107" s="115" t="s">
        <v>74</v>
      </c>
      <c r="F107" s="75">
        <v>14412</v>
      </c>
      <c r="G107" s="36">
        <v>6530</v>
      </c>
      <c r="H107" s="108">
        <f t="shared" si="1"/>
        <v>2.2070444104134763</v>
      </c>
      <c r="I107" s="109">
        <v>8959</v>
      </c>
      <c r="J107" s="109">
        <v>1.6</v>
      </c>
      <c r="K107" s="128">
        <v>475</v>
      </c>
      <c r="L107" s="129" t="s">
        <v>216</v>
      </c>
      <c r="M107" s="130">
        <v>5950</v>
      </c>
      <c r="N107" s="130">
        <v>5720</v>
      </c>
      <c r="O107" s="130">
        <v>0</v>
      </c>
      <c r="P107" s="130">
        <v>0</v>
      </c>
      <c r="Q107" s="130">
        <v>0</v>
      </c>
      <c r="R107" s="130" t="s">
        <v>217</v>
      </c>
      <c r="S107" s="131" t="s">
        <v>480</v>
      </c>
      <c r="T107" s="131" t="s">
        <v>481</v>
      </c>
      <c r="U107" s="131" t="s">
        <v>482</v>
      </c>
      <c r="V107" s="131" t="s">
        <v>483</v>
      </c>
      <c r="W107" s="131" t="s">
        <v>189</v>
      </c>
      <c r="X107" s="131" t="s">
        <v>190</v>
      </c>
      <c r="Y107" s="13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36"/>
    </row>
    <row r="108" spans="1:51" x14ac:dyDescent="0.2">
      <c r="A108" s="8">
        <v>17100</v>
      </c>
      <c r="B108" s="8" t="s">
        <v>160</v>
      </c>
      <c r="C108" s="8"/>
      <c r="D108" s="29" t="s">
        <v>3</v>
      </c>
      <c r="E108" s="115"/>
      <c r="F108" s="75">
        <v>47767</v>
      </c>
      <c r="G108" s="36">
        <v>16350</v>
      </c>
      <c r="H108" s="108">
        <f t="shared" si="1"/>
        <v>2.9215290519877675</v>
      </c>
      <c r="I108" s="109">
        <v>14</v>
      </c>
      <c r="J108" s="109">
        <v>3411.7</v>
      </c>
      <c r="K108" s="128">
        <v>760</v>
      </c>
      <c r="L108" s="129" t="s">
        <v>216</v>
      </c>
      <c r="M108" s="130">
        <v>16052</v>
      </c>
      <c r="N108" s="130">
        <v>16052</v>
      </c>
      <c r="O108" s="130">
        <v>6589</v>
      </c>
      <c r="P108" s="130">
        <v>0</v>
      </c>
      <c r="Q108" s="130">
        <v>16350</v>
      </c>
      <c r="R108" s="130" t="s">
        <v>217</v>
      </c>
      <c r="S108" s="131"/>
      <c r="T108" s="131"/>
      <c r="U108" s="131"/>
      <c r="V108" s="131"/>
      <c r="W108" s="131"/>
      <c r="X108" s="131"/>
      <c r="Y108" s="13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36"/>
    </row>
    <row r="109" spans="1:51" x14ac:dyDescent="0.2">
      <c r="A109" s="8">
        <v>17150</v>
      </c>
      <c r="B109" s="8" t="s">
        <v>161</v>
      </c>
      <c r="C109" s="8" t="s">
        <v>18</v>
      </c>
      <c r="D109" s="29" t="s">
        <v>3</v>
      </c>
      <c r="E109" s="115"/>
      <c r="F109" s="75">
        <v>232369</v>
      </c>
      <c r="G109" s="36">
        <v>87888</v>
      </c>
      <c r="H109" s="108">
        <f t="shared" si="1"/>
        <v>2.6439218095758239</v>
      </c>
      <c r="I109" s="109">
        <v>333.6</v>
      </c>
      <c r="J109" s="109">
        <v>696.6</v>
      </c>
      <c r="K109" s="128">
        <v>456.3</v>
      </c>
      <c r="L109" s="129" t="s">
        <v>216</v>
      </c>
      <c r="M109" s="130">
        <v>87150</v>
      </c>
      <c r="N109" s="130">
        <v>85226</v>
      </c>
      <c r="O109" s="130">
        <v>85226</v>
      </c>
      <c r="P109" s="130">
        <v>0</v>
      </c>
      <c r="Q109" s="130">
        <v>87888</v>
      </c>
      <c r="R109" s="130" t="s">
        <v>217</v>
      </c>
      <c r="S109" s="131"/>
      <c r="T109" s="131"/>
      <c r="U109" s="131"/>
      <c r="V109" s="131"/>
      <c r="W109" s="131"/>
      <c r="X109" s="131"/>
      <c r="Y109" s="13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36"/>
    </row>
    <row r="110" spans="1:51" x14ac:dyDescent="0.2">
      <c r="A110" s="8">
        <v>17200</v>
      </c>
      <c r="B110" s="8" t="s">
        <v>68</v>
      </c>
      <c r="C110" s="8" t="s">
        <v>18</v>
      </c>
      <c r="D110" s="29" t="s">
        <v>3</v>
      </c>
      <c r="E110" s="115"/>
      <c r="F110" s="75">
        <v>248736</v>
      </c>
      <c r="G110" s="36">
        <v>130963</v>
      </c>
      <c r="H110" s="108">
        <f t="shared" si="1"/>
        <v>1.899284530745325</v>
      </c>
      <c r="I110" s="109">
        <v>26.7</v>
      </c>
      <c r="J110" s="109">
        <v>9301</v>
      </c>
      <c r="K110" s="128">
        <v>372</v>
      </c>
      <c r="L110" s="129" t="s">
        <v>216</v>
      </c>
      <c r="M110" s="130">
        <v>37539</v>
      </c>
      <c r="N110" s="130">
        <v>40147</v>
      </c>
      <c r="O110" s="130">
        <v>8134</v>
      </c>
      <c r="P110" s="130">
        <v>0</v>
      </c>
      <c r="Q110" s="130">
        <v>130963</v>
      </c>
      <c r="R110" s="130" t="s">
        <v>217</v>
      </c>
      <c r="S110" s="131"/>
      <c r="T110" s="131"/>
      <c r="U110" s="131"/>
      <c r="V110" s="131"/>
      <c r="W110" s="131"/>
      <c r="X110" s="131"/>
      <c r="Y110" s="13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36"/>
    </row>
    <row r="111" spans="1:51" x14ac:dyDescent="0.2">
      <c r="A111" s="8">
        <v>17310</v>
      </c>
      <c r="B111" s="8" t="s">
        <v>162</v>
      </c>
      <c r="C111" s="8" t="s">
        <v>17</v>
      </c>
      <c r="D111" s="29" t="s">
        <v>1</v>
      </c>
      <c r="E111" s="115" t="s">
        <v>205</v>
      </c>
      <c r="F111" s="75">
        <v>62545</v>
      </c>
      <c r="G111" s="36">
        <v>28082</v>
      </c>
      <c r="H111" s="108">
        <f t="shared" si="1"/>
        <v>2.2272274054554519</v>
      </c>
      <c r="I111" s="109">
        <v>9884.4</v>
      </c>
      <c r="J111" s="109">
        <v>6.3</v>
      </c>
      <c r="K111" s="128">
        <v>322</v>
      </c>
      <c r="L111" s="129" t="s">
        <v>216</v>
      </c>
      <c r="M111" s="130">
        <v>28082</v>
      </c>
      <c r="N111" s="130">
        <v>25078</v>
      </c>
      <c r="O111" s="130">
        <v>19861</v>
      </c>
      <c r="P111" s="130">
        <v>0</v>
      </c>
      <c r="Q111" s="130">
        <v>28082</v>
      </c>
      <c r="R111" s="130" t="s">
        <v>217</v>
      </c>
      <c r="S111" s="131" t="s">
        <v>484</v>
      </c>
      <c r="T111" s="131" t="s">
        <v>485</v>
      </c>
      <c r="U111" s="131" t="s">
        <v>486</v>
      </c>
      <c r="V111" s="131" t="s">
        <v>487</v>
      </c>
      <c r="W111" s="131" t="s">
        <v>488</v>
      </c>
      <c r="X111" s="131" t="s">
        <v>489</v>
      </c>
      <c r="Y111" s="131" t="s">
        <v>490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36"/>
    </row>
    <row r="112" spans="1:51" x14ac:dyDescent="0.2">
      <c r="A112" s="8">
        <v>17350</v>
      </c>
      <c r="B112" s="8" t="s">
        <v>163</v>
      </c>
      <c r="C112" s="8" t="s">
        <v>22</v>
      </c>
      <c r="D112" s="29" t="s">
        <v>1</v>
      </c>
      <c r="E112" s="115" t="s">
        <v>201</v>
      </c>
      <c r="F112" s="75">
        <v>6274</v>
      </c>
      <c r="G112" s="36">
        <v>3827</v>
      </c>
      <c r="H112" s="108">
        <f t="shared" si="1"/>
        <v>1.6394042330807421</v>
      </c>
      <c r="I112" s="109">
        <v>2802</v>
      </c>
      <c r="J112" s="109">
        <v>2.2000000000000002</v>
      </c>
      <c r="K112" s="128">
        <v>251.2</v>
      </c>
      <c r="L112" s="129" t="s">
        <v>216</v>
      </c>
      <c r="M112" s="130">
        <v>2453</v>
      </c>
      <c r="N112" s="130">
        <v>0</v>
      </c>
      <c r="O112" s="130">
        <v>0</v>
      </c>
      <c r="P112" s="130">
        <v>0</v>
      </c>
      <c r="Q112" s="130">
        <v>3827</v>
      </c>
      <c r="R112" s="130" t="s">
        <v>217</v>
      </c>
      <c r="S112" s="131" t="s">
        <v>491</v>
      </c>
      <c r="T112" s="131" t="s">
        <v>492</v>
      </c>
      <c r="U112" s="131" t="s">
        <v>493</v>
      </c>
      <c r="V112" s="131"/>
      <c r="W112" s="131"/>
      <c r="X112" s="131"/>
      <c r="Y112" s="13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36"/>
    </row>
    <row r="113" spans="1:51" x14ac:dyDescent="0.2">
      <c r="A113" s="8">
        <v>17400</v>
      </c>
      <c r="B113" s="8" t="s">
        <v>164</v>
      </c>
      <c r="C113" s="8" t="s">
        <v>17</v>
      </c>
      <c r="D113" s="29" t="s">
        <v>1</v>
      </c>
      <c r="E113" s="115" t="s">
        <v>196</v>
      </c>
      <c r="F113" s="75">
        <v>6470</v>
      </c>
      <c r="G113" s="36">
        <v>4933</v>
      </c>
      <c r="H113" s="108">
        <f t="shared" si="1"/>
        <v>1.3115751064261099</v>
      </c>
      <c r="I113" s="109">
        <v>7322.8</v>
      </c>
      <c r="J113" s="109">
        <v>0.9</v>
      </c>
      <c r="K113" s="128">
        <v>612</v>
      </c>
      <c r="L113" s="129" t="s">
        <v>216</v>
      </c>
      <c r="M113" s="130">
        <v>2314</v>
      </c>
      <c r="N113" s="130">
        <v>1740</v>
      </c>
      <c r="O113" s="130">
        <v>0</v>
      </c>
      <c r="P113" s="130">
        <v>0</v>
      </c>
      <c r="Q113" s="130">
        <v>0</v>
      </c>
      <c r="R113" s="130" t="s">
        <v>217</v>
      </c>
      <c r="S113" s="131" t="s">
        <v>494</v>
      </c>
      <c r="T113" s="131" t="s">
        <v>495</v>
      </c>
      <c r="U113" s="131" t="s">
        <v>496</v>
      </c>
      <c r="V113" s="131" t="s">
        <v>497</v>
      </c>
      <c r="W113" s="131" t="s">
        <v>498</v>
      </c>
      <c r="X113" s="131" t="s">
        <v>499</v>
      </c>
      <c r="Y113" s="131" t="s">
        <v>500</v>
      </c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36"/>
    </row>
    <row r="114" spans="1:51" x14ac:dyDescent="0.2">
      <c r="A114" s="8">
        <v>17420</v>
      </c>
      <c r="B114" s="8" t="s">
        <v>165</v>
      </c>
      <c r="C114" s="8" t="s">
        <v>19</v>
      </c>
      <c r="D114" s="29" t="s">
        <v>3</v>
      </c>
      <c r="E114" s="115"/>
      <c r="F114" s="75">
        <v>183791</v>
      </c>
      <c r="G114" s="36">
        <v>68021</v>
      </c>
      <c r="H114" s="108">
        <f t="shared" si="1"/>
        <v>2.7019743902618307</v>
      </c>
      <c r="I114" s="109">
        <v>386.2</v>
      </c>
      <c r="J114" s="109">
        <v>475.9</v>
      </c>
      <c r="K114" s="128">
        <v>425</v>
      </c>
      <c r="L114" s="129" t="s">
        <v>216</v>
      </c>
      <c r="M114" s="130">
        <v>55868</v>
      </c>
      <c r="N114" s="130">
        <v>54620</v>
      </c>
      <c r="O114" s="130">
        <v>54862</v>
      </c>
      <c r="P114" s="130">
        <v>0</v>
      </c>
      <c r="Q114" s="130">
        <v>68021</v>
      </c>
      <c r="R114" s="130" t="s">
        <v>217</v>
      </c>
      <c r="S114" s="131"/>
      <c r="T114" s="131"/>
      <c r="U114" s="131"/>
      <c r="V114" s="131"/>
      <c r="W114" s="131"/>
      <c r="X114" s="131"/>
      <c r="Y114" s="13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36"/>
    </row>
    <row r="115" spans="1:51" x14ac:dyDescent="0.2">
      <c r="A115" s="8">
        <v>17550</v>
      </c>
      <c r="B115" s="8" t="s">
        <v>166</v>
      </c>
      <c r="C115" s="8" t="s">
        <v>20</v>
      </c>
      <c r="D115" s="29" t="s">
        <v>4</v>
      </c>
      <c r="E115" s="115" t="s">
        <v>197</v>
      </c>
      <c r="F115" s="75">
        <v>98382</v>
      </c>
      <c r="G115" s="36">
        <v>41548</v>
      </c>
      <c r="H115" s="108">
        <f t="shared" si="1"/>
        <v>2.3679118128429768</v>
      </c>
      <c r="I115" s="109">
        <v>1307.7</v>
      </c>
      <c r="J115" s="109">
        <v>75.2</v>
      </c>
      <c r="K115" s="128">
        <v>497.4</v>
      </c>
      <c r="L115" s="129" t="s">
        <v>216</v>
      </c>
      <c r="M115" s="130">
        <v>39556</v>
      </c>
      <c r="N115" s="130">
        <v>39013</v>
      </c>
      <c r="O115" s="130">
        <v>0</v>
      </c>
      <c r="P115" s="130">
        <v>26925</v>
      </c>
      <c r="Q115" s="130">
        <v>41548</v>
      </c>
      <c r="R115" s="130" t="s">
        <v>217</v>
      </c>
      <c r="S115" s="131" t="s">
        <v>501</v>
      </c>
      <c r="T115" s="131"/>
      <c r="U115" s="131"/>
      <c r="V115" s="131"/>
      <c r="W115" s="131"/>
      <c r="X115" s="131"/>
      <c r="Y115" s="13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36"/>
    </row>
    <row r="116" spans="1:51" x14ac:dyDescent="0.2">
      <c r="A116" s="8">
        <v>17620</v>
      </c>
      <c r="B116" s="8" t="s">
        <v>167</v>
      </c>
      <c r="C116" s="8" t="s">
        <v>25</v>
      </c>
      <c r="D116" s="29" t="s">
        <v>4</v>
      </c>
      <c r="E116" s="115" t="s">
        <v>204</v>
      </c>
      <c r="F116" s="75">
        <v>14167</v>
      </c>
      <c r="G116" s="36">
        <v>7633</v>
      </c>
      <c r="H116" s="108">
        <f t="shared" si="1"/>
        <v>1.8560199135333422</v>
      </c>
      <c r="I116" s="109">
        <v>8096.1</v>
      </c>
      <c r="J116" s="109">
        <v>1.7</v>
      </c>
      <c r="K116" s="128">
        <v>665</v>
      </c>
      <c r="L116" s="129" t="s">
        <v>216</v>
      </c>
      <c r="M116" s="130">
        <v>4755</v>
      </c>
      <c r="N116" s="130">
        <v>4704</v>
      </c>
      <c r="O116" s="130">
        <v>0</v>
      </c>
      <c r="P116" s="130">
        <v>0</v>
      </c>
      <c r="Q116" s="130">
        <v>7633</v>
      </c>
      <c r="R116" s="130" t="s">
        <v>217</v>
      </c>
      <c r="S116" s="131" t="s">
        <v>502</v>
      </c>
      <c r="T116" s="131" t="s">
        <v>503</v>
      </c>
      <c r="U116" s="131" t="s">
        <v>504</v>
      </c>
      <c r="V116" s="131" t="s">
        <v>505</v>
      </c>
      <c r="W116" s="131"/>
      <c r="X116" s="131"/>
      <c r="Y116" s="13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36"/>
    </row>
    <row r="117" spans="1:51" x14ac:dyDescent="0.2">
      <c r="A117" s="8">
        <v>17640</v>
      </c>
      <c r="B117" s="8" t="s">
        <v>168</v>
      </c>
      <c r="C117" s="8" t="s">
        <v>74</v>
      </c>
      <c r="D117" s="29" t="s">
        <v>1</v>
      </c>
      <c r="E117" s="115" t="s">
        <v>74</v>
      </c>
      <c r="F117" s="75">
        <v>8274</v>
      </c>
      <c r="G117" s="36">
        <v>6397</v>
      </c>
      <c r="H117" s="108">
        <f t="shared" si="1"/>
        <v>1.2934187900578396</v>
      </c>
      <c r="I117" s="109">
        <v>7127.4</v>
      </c>
      <c r="J117" s="109">
        <v>1.2</v>
      </c>
      <c r="K117" s="128">
        <v>485</v>
      </c>
      <c r="L117" s="129" t="s">
        <v>216</v>
      </c>
      <c r="M117" s="130">
        <v>2193</v>
      </c>
      <c r="N117" s="130">
        <v>2193</v>
      </c>
      <c r="O117" s="130">
        <v>2193</v>
      </c>
      <c r="P117" s="130">
        <v>0</v>
      </c>
      <c r="Q117" s="130">
        <v>0</v>
      </c>
      <c r="R117" s="130" t="s">
        <v>217</v>
      </c>
      <c r="S117" s="131" t="s">
        <v>506</v>
      </c>
      <c r="T117" s="131" t="s">
        <v>507</v>
      </c>
      <c r="U117" s="131" t="s">
        <v>508</v>
      </c>
      <c r="V117" s="131" t="s">
        <v>509</v>
      </c>
      <c r="W117" s="131" t="s">
        <v>510</v>
      </c>
      <c r="X117" s="131" t="s">
        <v>511</v>
      </c>
      <c r="Y117" s="13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36"/>
    </row>
    <row r="118" spans="1:51" x14ac:dyDescent="0.2">
      <c r="A118" s="8">
        <v>17650</v>
      </c>
      <c r="B118" s="8" t="s">
        <v>169</v>
      </c>
      <c r="C118" s="8" t="s">
        <v>17</v>
      </c>
      <c r="D118" s="29" t="s">
        <v>1</v>
      </c>
      <c r="E118" s="115" t="s">
        <v>196</v>
      </c>
      <c r="F118" s="75">
        <v>5944</v>
      </c>
      <c r="G118" s="36">
        <v>3160</v>
      </c>
      <c r="H118" s="108">
        <f t="shared" si="1"/>
        <v>1.8810126582278481</v>
      </c>
      <c r="I118" s="109">
        <v>3226.5</v>
      </c>
      <c r="J118" s="109">
        <v>1.8</v>
      </c>
      <c r="K118" s="128">
        <v>352</v>
      </c>
      <c r="L118" s="129" t="s">
        <v>216</v>
      </c>
      <c r="M118" s="130">
        <v>2004</v>
      </c>
      <c r="N118" s="130">
        <v>1899</v>
      </c>
      <c r="O118" s="130">
        <v>99</v>
      </c>
      <c r="P118" s="130">
        <v>0</v>
      </c>
      <c r="Q118" s="130">
        <v>0</v>
      </c>
      <c r="R118" s="130" t="s">
        <v>217</v>
      </c>
      <c r="S118" s="131" t="s">
        <v>512</v>
      </c>
      <c r="T118" s="131" t="s">
        <v>513</v>
      </c>
      <c r="U118" s="131" t="s">
        <v>514</v>
      </c>
      <c r="V118" s="131"/>
      <c r="W118" s="131"/>
      <c r="X118" s="131"/>
      <c r="Y118" s="13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36"/>
    </row>
    <row r="119" spans="1:51" x14ac:dyDescent="0.2">
      <c r="A119" s="8">
        <v>17750</v>
      </c>
      <c r="B119" s="8" t="s">
        <v>170</v>
      </c>
      <c r="C119" s="8" t="s">
        <v>22</v>
      </c>
      <c r="D119" s="29" t="s">
        <v>1</v>
      </c>
      <c r="E119" s="115"/>
      <c r="F119" s="75">
        <v>65770</v>
      </c>
      <c r="G119" s="36">
        <v>25631</v>
      </c>
      <c r="H119" s="108">
        <f t="shared" si="1"/>
        <v>2.5660333190277398</v>
      </c>
      <c r="I119" s="109">
        <v>4824.5</v>
      </c>
      <c r="J119" s="109">
        <v>13.6</v>
      </c>
      <c r="K119" s="128">
        <v>369</v>
      </c>
      <c r="L119" s="129" t="s">
        <v>216</v>
      </c>
      <c r="M119" s="130">
        <v>25631</v>
      </c>
      <c r="N119" s="130">
        <v>25631</v>
      </c>
      <c r="O119" s="130">
        <v>0</v>
      </c>
      <c r="P119" s="130">
        <v>25631</v>
      </c>
      <c r="Q119" s="130">
        <v>25631</v>
      </c>
      <c r="R119" s="130" t="s">
        <v>217</v>
      </c>
      <c r="S119" s="131" t="s">
        <v>515</v>
      </c>
      <c r="T119" s="131" t="s">
        <v>516</v>
      </c>
      <c r="U119" s="131"/>
      <c r="V119" s="131"/>
      <c r="W119" s="131"/>
      <c r="X119" s="131"/>
      <c r="Y119" s="13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36"/>
    </row>
    <row r="120" spans="1:51" x14ac:dyDescent="0.2">
      <c r="A120" s="8">
        <v>17850</v>
      </c>
      <c r="B120" s="8" t="s">
        <v>171</v>
      </c>
      <c r="C120" s="8" t="s">
        <v>17</v>
      </c>
      <c r="D120" s="29" t="s">
        <v>1</v>
      </c>
      <c r="E120" s="115" t="s">
        <v>205</v>
      </c>
      <c r="F120" s="75">
        <v>3105</v>
      </c>
      <c r="G120" s="36">
        <v>1829</v>
      </c>
      <c r="H120" s="108">
        <f t="shared" si="1"/>
        <v>1.6976489885183159</v>
      </c>
      <c r="I120" s="109">
        <v>6261</v>
      </c>
      <c r="J120" s="109">
        <v>0.5</v>
      </c>
      <c r="K120" s="128">
        <v>655</v>
      </c>
      <c r="L120" s="129" t="s">
        <v>216</v>
      </c>
      <c r="M120" s="130">
        <v>781</v>
      </c>
      <c r="N120" s="130">
        <v>763</v>
      </c>
      <c r="O120" s="130">
        <v>763</v>
      </c>
      <c r="P120" s="130">
        <v>0</v>
      </c>
      <c r="Q120" s="130">
        <v>0</v>
      </c>
      <c r="R120" s="130" t="s">
        <v>217</v>
      </c>
      <c r="S120" s="131"/>
      <c r="T120" s="131"/>
      <c r="U120" s="131"/>
      <c r="V120" s="131"/>
      <c r="W120" s="131"/>
      <c r="X120" s="131"/>
      <c r="Y120" s="13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36"/>
    </row>
    <row r="121" spans="1:51" x14ac:dyDescent="0.2">
      <c r="A121" s="8">
        <v>17900</v>
      </c>
      <c r="B121" s="8" t="s">
        <v>172</v>
      </c>
      <c r="C121" s="8" t="s">
        <v>42</v>
      </c>
      <c r="D121" s="29" t="s">
        <v>1</v>
      </c>
      <c r="E121" s="115" t="s">
        <v>203</v>
      </c>
      <c r="F121" s="75">
        <v>5828</v>
      </c>
      <c r="G121" s="36">
        <v>4868</v>
      </c>
      <c r="H121" s="108">
        <f t="shared" si="1"/>
        <v>1.1972062448644207</v>
      </c>
      <c r="I121" s="109">
        <v>22308.400000000001</v>
      </c>
      <c r="J121" s="109">
        <v>0.3</v>
      </c>
      <c r="K121" s="128">
        <v>535</v>
      </c>
      <c r="L121" s="129" t="s">
        <v>216</v>
      </c>
      <c r="M121" s="130">
        <v>1533</v>
      </c>
      <c r="N121" s="130">
        <v>0</v>
      </c>
      <c r="O121" s="130">
        <v>0</v>
      </c>
      <c r="P121" s="130">
        <v>0</v>
      </c>
      <c r="Q121" s="130">
        <v>0</v>
      </c>
      <c r="R121" s="130" t="s">
        <v>217</v>
      </c>
      <c r="S121" s="131" t="s">
        <v>517</v>
      </c>
      <c r="T121" s="131" t="s">
        <v>518</v>
      </c>
      <c r="U121" s="131" t="s">
        <v>519</v>
      </c>
      <c r="V121" s="131" t="s">
        <v>520</v>
      </c>
      <c r="W121" s="131" t="s">
        <v>521</v>
      </c>
      <c r="X121" s="131" t="s">
        <v>522</v>
      </c>
      <c r="Y121" s="131" t="s">
        <v>523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36"/>
    </row>
    <row r="122" spans="1:51" x14ac:dyDescent="0.2">
      <c r="A122" s="8">
        <v>17950</v>
      </c>
      <c r="B122" s="8" t="s">
        <v>173</v>
      </c>
      <c r="C122" s="8" t="s">
        <v>42</v>
      </c>
      <c r="D122" s="29" t="s">
        <v>1</v>
      </c>
      <c r="E122" s="115" t="s">
        <v>202</v>
      </c>
      <c r="F122" s="75">
        <v>2716</v>
      </c>
      <c r="G122" s="36">
        <v>2058</v>
      </c>
      <c r="H122" s="108">
        <f t="shared" si="1"/>
        <v>1.3197278911564625</v>
      </c>
      <c r="I122" s="109">
        <v>10753.8</v>
      </c>
      <c r="J122" s="109">
        <v>0.3</v>
      </c>
      <c r="K122" s="128">
        <v>278</v>
      </c>
      <c r="L122" s="129" t="s">
        <v>216</v>
      </c>
      <c r="M122" s="130">
        <v>950</v>
      </c>
      <c r="N122" s="130">
        <v>0</v>
      </c>
      <c r="O122" s="130">
        <v>0</v>
      </c>
      <c r="P122" s="130">
        <v>0</v>
      </c>
      <c r="Q122" s="130">
        <v>2058</v>
      </c>
      <c r="R122" s="130" t="s">
        <v>217</v>
      </c>
      <c r="S122" s="131"/>
      <c r="T122" s="131"/>
      <c r="U122" s="131"/>
      <c r="V122" s="131"/>
      <c r="W122" s="131"/>
      <c r="X122" s="131"/>
      <c r="Y122" s="13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36"/>
    </row>
    <row r="123" spans="1:51" x14ac:dyDescent="0.2">
      <c r="A123" s="8">
        <v>18020</v>
      </c>
      <c r="B123" s="8" t="s">
        <v>174</v>
      </c>
      <c r="C123" s="8" t="s">
        <v>42</v>
      </c>
      <c r="D123" s="29" t="s">
        <v>1</v>
      </c>
      <c r="E123" s="115" t="s">
        <v>202</v>
      </c>
      <c r="F123" s="75">
        <v>9209</v>
      </c>
      <c r="G123" s="36">
        <v>6361</v>
      </c>
      <c r="H123" s="108">
        <f t="shared" si="1"/>
        <v>1.4477283445999056</v>
      </c>
      <c r="I123" s="109">
        <v>12372.1</v>
      </c>
      <c r="J123" s="109">
        <v>0.7</v>
      </c>
      <c r="K123" s="128">
        <v>379</v>
      </c>
      <c r="L123" s="129" t="s">
        <v>216</v>
      </c>
      <c r="M123" s="130">
        <v>5805</v>
      </c>
      <c r="N123" s="130">
        <v>5805</v>
      </c>
      <c r="O123" s="130">
        <v>0</v>
      </c>
      <c r="P123" s="130">
        <v>0</v>
      </c>
      <c r="Q123" s="130">
        <v>0</v>
      </c>
      <c r="R123" s="130" t="s">
        <v>217</v>
      </c>
      <c r="S123" s="131" t="s">
        <v>524</v>
      </c>
      <c r="T123" s="131"/>
      <c r="U123" s="131"/>
      <c r="V123" s="131"/>
      <c r="W123" s="131"/>
      <c r="X123" s="131"/>
      <c r="Y123" s="13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36"/>
    </row>
    <row r="124" spans="1:51" x14ac:dyDescent="0.2">
      <c r="A124" s="8">
        <v>18050</v>
      </c>
      <c r="B124" s="8" t="s">
        <v>69</v>
      </c>
      <c r="C124" s="8" t="s">
        <v>18</v>
      </c>
      <c r="D124" s="29" t="s">
        <v>3</v>
      </c>
      <c r="E124" s="115"/>
      <c r="F124" s="75">
        <v>74276</v>
      </c>
      <c r="G124" s="36">
        <v>29754</v>
      </c>
      <c r="H124" s="108">
        <f t="shared" si="1"/>
        <v>2.4963366270081333</v>
      </c>
      <c r="I124" s="109">
        <v>9.4</v>
      </c>
      <c r="J124" s="109">
        <v>7943.4</v>
      </c>
      <c r="K124" s="128">
        <v>576</v>
      </c>
      <c r="L124" s="129" t="s">
        <v>216</v>
      </c>
      <c r="M124" s="130">
        <v>29748</v>
      </c>
      <c r="N124" s="130">
        <v>29754</v>
      </c>
      <c r="O124" s="130">
        <v>29748</v>
      </c>
      <c r="P124" s="130">
        <v>0</v>
      </c>
      <c r="Q124" s="130">
        <v>29754</v>
      </c>
      <c r="R124" s="130" t="s">
        <v>217</v>
      </c>
      <c r="S124" s="131"/>
      <c r="T124" s="131"/>
      <c r="U124" s="131"/>
      <c r="V124" s="131"/>
      <c r="W124" s="131"/>
      <c r="X124" s="131"/>
      <c r="Y124" s="13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36"/>
    </row>
    <row r="125" spans="1:51" x14ac:dyDescent="0.2">
      <c r="A125" s="8">
        <v>18100</v>
      </c>
      <c r="B125" s="8" t="s">
        <v>175</v>
      </c>
      <c r="C125" s="8" t="s">
        <v>42</v>
      </c>
      <c r="D125" s="29" t="s">
        <v>1</v>
      </c>
      <c r="E125" s="115" t="s">
        <v>199</v>
      </c>
      <c r="F125" s="75">
        <v>3596</v>
      </c>
      <c r="G125" s="36">
        <v>2606</v>
      </c>
      <c r="H125" s="108">
        <f t="shared" si="1"/>
        <v>1.3798925556408288</v>
      </c>
      <c r="I125" s="109">
        <v>3414.9</v>
      </c>
      <c r="J125" s="109">
        <v>1.1000000000000001</v>
      </c>
      <c r="K125" s="128">
        <v>310</v>
      </c>
      <c r="L125" s="129" t="s">
        <v>216</v>
      </c>
      <c r="M125" s="130">
        <v>1142</v>
      </c>
      <c r="N125" s="130">
        <v>1046</v>
      </c>
      <c r="O125" s="130">
        <v>0</v>
      </c>
      <c r="P125" s="130">
        <v>0</v>
      </c>
      <c r="Q125" s="130">
        <v>0</v>
      </c>
      <c r="R125" s="130" t="s">
        <v>217</v>
      </c>
      <c r="S125" s="131" t="s">
        <v>525</v>
      </c>
      <c r="T125" s="131" t="s">
        <v>526</v>
      </c>
      <c r="U125" s="131" t="s">
        <v>527</v>
      </c>
      <c r="V125" s="131"/>
      <c r="W125" s="131"/>
      <c r="X125" s="131"/>
      <c r="Y125" s="13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36"/>
    </row>
    <row r="126" spans="1:51" x14ac:dyDescent="0.2">
      <c r="A126" s="8">
        <v>18200</v>
      </c>
      <c r="B126" s="8" t="s">
        <v>176</v>
      </c>
      <c r="C126" s="8" t="s">
        <v>73</v>
      </c>
      <c r="D126" s="29" t="s">
        <v>1</v>
      </c>
      <c r="E126" s="115" t="s">
        <v>198</v>
      </c>
      <c r="F126" s="75">
        <v>7090</v>
      </c>
      <c r="G126" s="36">
        <v>2913</v>
      </c>
      <c r="H126" s="108">
        <f t="shared" si="1"/>
        <v>2.4339169241331962</v>
      </c>
      <c r="I126" s="109">
        <v>26256.2</v>
      </c>
      <c r="J126" s="109">
        <v>0.3</v>
      </c>
      <c r="K126" s="128">
        <v>295</v>
      </c>
      <c r="L126" s="129" t="s">
        <v>216</v>
      </c>
      <c r="M126" s="130">
        <v>2530</v>
      </c>
      <c r="N126" s="130">
        <v>0</v>
      </c>
      <c r="O126" s="130">
        <v>0</v>
      </c>
      <c r="P126" s="130">
        <v>0</v>
      </c>
      <c r="Q126" s="130">
        <v>2913</v>
      </c>
      <c r="R126" s="130" t="s">
        <v>217</v>
      </c>
      <c r="S126" s="131"/>
      <c r="T126" s="131"/>
      <c r="U126" s="131"/>
      <c r="V126" s="131"/>
      <c r="W126" s="131"/>
      <c r="X126" s="131"/>
      <c r="Y126" s="13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36"/>
    </row>
    <row r="127" spans="1:51" x14ac:dyDescent="0.2">
      <c r="A127" s="8">
        <v>18250</v>
      </c>
      <c r="B127" s="8" t="s">
        <v>70</v>
      </c>
      <c r="C127" s="8" t="s">
        <v>26</v>
      </c>
      <c r="D127" s="29" t="s">
        <v>3</v>
      </c>
      <c r="E127" s="115"/>
      <c r="F127" s="75">
        <v>81196</v>
      </c>
      <c r="G127" s="36">
        <v>32319</v>
      </c>
      <c r="H127" s="108">
        <f t="shared" si="1"/>
        <v>2.5123302082366408</v>
      </c>
      <c r="I127" s="109">
        <v>22.4</v>
      </c>
      <c r="J127" s="109">
        <v>3620.7</v>
      </c>
      <c r="K127" s="128">
        <v>530</v>
      </c>
      <c r="L127" s="129" t="s">
        <v>216</v>
      </c>
      <c r="M127" s="130">
        <v>29827</v>
      </c>
      <c r="N127" s="130">
        <v>32319</v>
      </c>
      <c r="O127" s="130">
        <v>13356</v>
      </c>
      <c r="P127" s="130">
        <v>0</v>
      </c>
      <c r="Q127" s="130">
        <v>32319</v>
      </c>
      <c r="R127" s="130" t="s">
        <v>227</v>
      </c>
      <c r="S127" s="131" t="s">
        <v>528</v>
      </c>
      <c r="T127" s="131"/>
      <c r="U127" s="131"/>
      <c r="V127" s="131"/>
      <c r="W127" s="131"/>
      <c r="X127" s="131"/>
      <c r="Y127" s="13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36"/>
    </row>
    <row r="128" spans="1:51" x14ac:dyDescent="0.2">
      <c r="A128" s="8">
        <v>18350</v>
      </c>
      <c r="B128" s="8" t="s">
        <v>71</v>
      </c>
      <c r="C128" s="8" t="s">
        <v>74</v>
      </c>
      <c r="D128" s="29" t="s">
        <v>2</v>
      </c>
      <c r="E128" s="115" t="s">
        <v>74</v>
      </c>
      <c r="F128" s="75">
        <v>51760</v>
      </c>
      <c r="G128" s="36">
        <v>20791</v>
      </c>
      <c r="H128" s="108">
        <f t="shared" si="1"/>
        <v>2.4895387427252178</v>
      </c>
      <c r="I128" s="109">
        <v>2689.3</v>
      </c>
      <c r="J128" s="109">
        <v>19.2</v>
      </c>
      <c r="K128" s="128">
        <v>422</v>
      </c>
      <c r="L128" s="129" t="s">
        <v>216</v>
      </c>
      <c r="M128" s="130">
        <v>19475</v>
      </c>
      <c r="N128" s="130">
        <v>19475</v>
      </c>
      <c r="O128" s="130">
        <v>18417</v>
      </c>
      <c r="P128" s="130">
        <v>0</v>
      </c>
      <c r="Q128" s="130">
        <v>20791</v>
      </c>
      <c r="R128" s="130" t="s">
        <v>217</v>
      </c>
      <c r="S128" s="131" t="s">
        <v>529</v>
      </c>
      <c r="T128" s="131"/>
      <c r="U128" s="131"/>
      <c r="V128" s="131"/>
      <c r="W128" s="131"/>
      <c r="X128" s="131"/>
      <c r="Y128" s="13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36"/>
    </row>
    <row r="129" spans="1:53" x14ac:dyDescent="0.2">
      <c r="A129" s="8">
        <v>18400</v>
      </c>
      <c r="B129" s="8" t="s">
        <v>177</v>
      </c>
      <c r="C129" s="8" t="s">
        <v>193</v>
      </c>
      <c r="D129" s="29" t="s">
        <v>4</v>
      </c>
      <c r="E129" s="115"/>
      <c r="F129" s="75">
        <v>54005</v>
      </c>
      <c r="G129" s="36">
        <v>20909</v>
      </c>
      <c r="H129" s="108">
        <f t="shared" si="1"/>
        <v>2.5828590559089388</v>
      </c>
      <c r="I129" s="109">
        <v>2555.4</v>
      </c>
      <c r="J129" s="109">
        <v>21.1</v>
      </c>
      <c r="K129" s="128">
        <v>572.9</v>
      </c>
      <c r="L129" s="129" t="s">
        <v>216</v>
      </c>
      <c r="M129" s="130">
        <v>18960.010000000002</v>
      </c>
      <c r="N129" s="130">
        <v>14307</v>
      </c>
      <c r="O129" s="130">
        <v>11165</v>
      </c>
      <c r="P129" s="130">
        <v>0</v>
      </c>
      <c r="Q129" s="130">
        <v>20909</v>
      </c>
      <c r="R129" s="130" t="s">
        <v>217</v>
      </c>
      <c r="S129" s="131" t="s">
        <v>530</v>
      </c>
      <c r="T129" s="131"/>
      <c r="U129" s="131"/>
      <c r="V129" s="131"/>
      <c r="W129" s="131"/>
      <c r="X129" s="131"/>
      <c r="Y129" s="13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36"/>
    </row>
    <row r="130" spans="1:53" x14ac:dyDescent="0.2">
      <c r="A130" s="8">
        <v>18450</v>
      </c>
      <c r="B130" s="8" t="s">
        <v>178</v>
      </c>
      <c r="C130" s="8" t="s">
        <v>41</v>
      </c>
      <c r="D130" s="29" t="s">
        <v>2</v>
      </c>
      <c r="E130" s="115" t="s">
        <v>41</v>
      </c>
      <c r="F130" s="75">
        <v>219798</v>
      </c>
      <c r="G130" s="36">
        <v>90526</v>
      </c>
      <c r="H130" s="108">
        <f t="shared" si="1"/>
        <v>2.4280096325917415</v>
      </c>
      <c r="I130" s="109">
        <v>684</v>
      </c>
      <c r="J130" s="109">
        <v>321.3</v>
      </c>
      <c r="K130" s="128">
        <v>411</v>
      </c>
      <c r="L130" s="129" t="s">
        <v>216</v>
      </c>
      <c r="M130" s="130">
        <v>86047</v>
      </c>
      <c r="N130" s="130">
        <v>86047</v>
      </c>
      <c r="O130" s="130">
        <v>35214</v>
      </c>
      <c r="P130" s="130">
        <v>50833</v>
      </c>
      <c r="Q130" s="130">
        <v>90526</v>
      </c>
      <c r="R130" s="130" t="s">
        <v>217</v>
      </c>
      <c r="S130" s="131" t="s">
        <v>531</v>
      </c>
      <c r="T130" s="131" t="s">
        <v>532</v>
      </c>
      <c r="U130" s="131"/>
      <c r="V130" s="131"/>
      <c r="W130" s="131"/>
      <c r="X130" s="131"/>
      <c r="Y130" s="13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36"/>
    </row>
    <row r="131" spans="1:53" x14ac:dyDescent="0.2">
      <c r="A131" s="8">
        <v>18500</v>
      </c>
      <c r="B131" s="8" t="s">
        <v>72</v>
      </c>
      <c r="C131" s="8" t="s">
        <v>18</v>
      </c>
      <c r="D131" s="29" t="s">
        <v>3</v>
      </c>
      <c r="E131" s="115"/>
      <c r="F131" s="75">
        <v>59431</v>
      </c>
      <c r="G131" s="36">
        <v>26397</v>
      </c>
      <c r="H131" s="108">
        <f t="shared" si="1"/>
        <v>2.2514300867522823</v>
      </c>
      <c r="I131" s="109">
        <v>12.3</v>
      </c>
      <c r="J131" s="109">
        <v>4840.6000000000004</v>
      </c>
      <c r="K131" s="128">
        <v>536.65</v>
      </c>
      <c r="L131" s="129" t="s">
        <v>216</v>
      </c>
      <c r="M131" s="130">
        <v>26397</v>
      </c>
      <c r="N131" s="130">
        <v>10811</v>
      </c>
      <c r="O131" s="130">
        <v>0</v>
      </c>
      <c r="P131" s="130">
        <v>26397</v>
      </c>
      <c r="Q131" s="130">
        <v>26397</v>
      </c>
      <c r="R131" s="130" t="s">
        <v>227</v>
      </c>
      <c r="S131" s="131"/>
      <c r="T131" s="131"/>
      <c r="U131" s="131"/>
      <c r="V131" s="131"/>
      <c r="W131" s="131"/>
      <c r="X131" s="131"/>
      <c r="Y131" s="13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36"/>
    </row>
    <row r="132" spans="1:53" ht="13.5" thickBot="1" x14ac:dyDescent="0.25">
      <c r="A132" s="8">
        <v>18710</v>
      </c>
      <c r="B132" s="8" t="s">
        <v>179</v>
      </c>
      <c r="C132" s="8" t="s">
        <v>74</v>
      </c>
      <c r="D132" s="29" t="s">
        <v>1</v>
      </c>
      <c r="E132" s="115" t="s">
        <v>74</v>
      </c>
      <c r="F132" s="76">
        <v>17321</v>
      </c>
      <c r="G132" s="36">
        <v>7781</v>
      </c>
      <c r="H132" s="108">
        <f t="shared" si="1"/>
        <v>2.2260634879835495</v>
      </c>
      <c r="I132" s="109">
        <v>3995.3</v>
      </c>
      <c r="J132" s="109">
        <v>4.3</v>
      </c>
      <c r="K132" s="128">
        <v>407</v>
      </c>
      <c r="L132" s="129" t="s">
        <v>216</v>
      </c>
      <c r="M132" s="130">
        <v>4589</v>
      </c>
      <c r="N132" s="130">
        <v>4599</v>
      </c>
      <c r="O132" s="130">
        <v>0</v>
      </c>
      <c r="P132" s="130">
        <v>0</v>
      </c>
      <c r="Q132" s="130">
        <v>0</v>
      </c>
      <c r="R132" s="130" t="s">
        <v>217</v>
      </c>
      <c r="S132" s="131" t="s">
        <v>533</v>
      </c>
      <c r="T132" s="131" t="s">
        <v>534</v>
      </c>
      <c r="U132" s="131" t="s">
        <v>535</v>
      </c>
      <c r="V132" s="131" t="s">
        <v>536</v>
      </c>
      <c r="W132" s="131" t="s">
        <v>537</v>
      </c>
      <c r="X132" s="131" t="s">
        <v>538</v>
      </c>
      <c r="Y132" s="13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36"/>
    </row>
    <row r="133" spans="1:53" s="78" customFormat="1" ht="15.75" customHeight="1" thickTop="1" x14ac:dyDescent="0.2">
      <c r="A133" s="77"/>
      <c r="B133" s="20"/>
      <c r="C133" s="11" t="s">
        <v>30</v>
      </c>
      <c r="D133" s="11"/>
      <c r="E133" s="77"/>
      <c r="F133" s="13">
        <f t="shared" ref="F133:AX133" si="2">COUNTIF(F5:F132,"&gt;0")</f>
        <v>128</v>
      </c>
      <c r="G133" s="13">
        <f t="shared" si="2"/>
        <v>128</v>
      </c>
      <c r="H133" s="13">
        <f t="shared" si="2"/>
        <v>128</v>
      </c>
      <c r="I133" s="13">
        <f t="shared" si="2"/>
        <v>128</v>
      </c>
      <c r="J133" s="13">
        <f t="shared" si="2"/>
        <v>127</v>
      </c>
      <c r="K133" s="13">
        <f t="shared" si="2"/>
        <v>128</v>
      </c>
      <c r="L133" s="13">
        <f t="shared" si="2"/>
        <v>0</v>
      </c>
      <c r="M133" s="13">
        <f t="shared" si="2"/>
        <v>128</v>
      </c>
      <c r="N133" s="13">
        <f t="shared" si="2"/>
        <v>112</v>
      </c>
      <c r="O133" s="13">
        <f t="shared" si="2"/>
        <v>48</v>
      </c>
      <c r="P133" s="13">
        <f t="shared" si="2"/>
        <v>41</v>
      </c>
      <c r="Q133" s="13">
        <f t="shared" si="2"/>
        <v>82</v>
      </c>
      <c r="R133" s="13">
        <f t="shared" si="2"/>
        <v>0</v>
      </c>
      <c r="S133" s="13">
        <f t="shared" si="2"/>
        <v>0</v>
      </c>
      <c r="T133" s="13">
        <f t="shared" si="2"/>
        <v>0</v>
      </c>
      <c r="U133" s="13">
        <f t="shared" si="2"/>
        <v>0</v>
      </c>
      <c r="V133" s="13">
        <f t="shared" si="2"/>
        <v>0</v>
      </c>
      <c r="W133" s="13">
        <f t="shared" si="2"/>
        <v>0</v>
      </c>
      <c r="X133" s="13">
        <f t="shared" si="2"/>
        <v>0</v>
      </c>
      <c r="Y133" s="13">
        <f t="shared" si="2"/>
        <v>0</v>
      </c>
      <c r="Z133" s="13">
        <f t="shared" si="2"/>
        <v>0</v>
      </c>
      <c r="AA133" s="13">
        <f t="shared" si="2"/>
        <v>0</v>
      </c>
      <c r="AB133" s="13">
        <f t="shared" si="2"/>
        <v>0</v>
      </c>
      <c r="AC133" s="13">
        <f t="shared" si="2"/>
        <v>0</v>
      </c>
      <c r="AD133" s="13">
        <f t="shared" si="2"/>
        <v>0</v>
      </c>
      <c r="AE133" s="13">
        <f t="shared" si="2"/>
        <v>0</v>
      </c>
      <c r="AF133" s="13">
        <f t="shared" si="2"/>
        <v>0</v>
      </c>
      <c r="AG133" s="13">
        <f t="shared" si="2"/>
        <v>0</v>
      </c>
      <c r="AH133" s="13">
        <f t="shared" si="2"/>
        <v>0</v>
      </c>
      <c r="AI133" s="13">
        <f t="shared" si="2"/>
        <v>0</v>
      </c>
      <c r="AJ133" s="13">
        <f t="shared" si="2"/>
        <v>0</v>
      </c>
      <c r="AK133" s="13">
        <f t="shared" si="2"/>
        <v>0</v>
      </c>
      <c r="AL133" s="13">
        <f t="shared" si="2"/>
        <v>0</v>
      </c>
      <c r="AM133" s="44">
        <f t="shared" si="2"/>
        <v>0</v>
      </c>
      <c r="AN133" s="13">
        <f t="shared" si="2"/>
        <v>0</v>
      </c>
      <c r="AO133" s="13">
        <f t="shared" si="2"/>
        <v>0</v>
      </c>
      <c r="AP133" s="13">
        <f t="shared" si="2"/>
        <v>0</v>
      </c>
      <c r="AQ133" s="13">
        <f t="shared" si="2"/>
        <v>0</v>
      </c>
      <c r="AR133" s="13">
        <f t="shared" si="2"/>
        <v>0</v>
      </c>
      <c r="AS133" s="13">
        <f t="shared" si="2"/>
        <v>0</v>
      </c>
      <c r="AT133" s="13">
        <f t="shared" si="2"/>
        <v>0</v>
      </c>
      <c r="AU133" s="13">
        <f t="shared" si="2"/>
        <v>0</v>
      </c>
      <c r="AV133" s="13">
        <f t="shared" si="2"/>
        <v>0</v>
      </c>
      <c r="AW133" s="13">
        <f t="shared" si="2"/>
        <v>0</v>
      </c>
      <c r="AX133" s="13">
        <f t="shared" si="2"/>
        <v>0</v>
      </c>
    </row>
    <row r="134" spans="1:53" s="79" customFormat="1" ht="15" customHeight="1" x14ac:dyDescent="0.2">
      <c r="B134" s="14"/>
      <c r="C134" s="8" t="s">
        <v>31</v>
      </c>
      <c r="D134" s="8"/>
      <c r="E134" s="80"/>
      <c r="F134" s="15">
        <f>SUM(F5:F132)</f>
        <v>8166571</v>
      </c>
      <c r="G134" s="15">
        <f>SUM(G5:G132)</f>
        <v>3366330</v>
      </c>
      <c r="H134" s="110">
        <f t="shared" ref="H134" si="3">F134/G134</f>
        <v>2.4259567540912506</v>
      </c>
      <c r="I134" s="15">
        <f t="shared" ref="I134:AX134" si="4">SUM(I5:I132)</f>
        <v>707596.40000000037</v>
      </c>
      <c r="J134" s="15">
        <f t="shared" si="4"/>
        <v>101983.6</v>
      </c>
      <c r="K134" s="15">
        <f t="shared" si="4"/>
        <v>55999.810000000005</v>
      </c>
      <c r="L134" s="15">
        <f t="shared" si="4"/>
        <v>0</v>
      </c>
      <c r="M134" s="15">
        <f t="shared" si="4"/>
        <v>2941253.01</v>
      </c>
      <c r="N134" s="15">
        <f t="shared" si="4"/>
        <v>2840157</v>
      </c>
      <c r="O134" s="15">
        <f t="shared" si="4"/>
        <v>1500315</v>
      </c>
      <c r="P134" s="15">
        <f t="shared" si="4"/>
        <v>683571</v>
      </c>
      <c r="Q134" s="15">
        <f t="shared" si="4"/>
        <v>2995336</v>
      </c>
      <c r="R134" s="15">
        <f t="shared" si="4"/>
        <v>0</v>
      </c>
      <c r="S134" s="15">
        <f t="shared" si="4"/>
        <v>0</v>
      </c>
      <c r="T134" s="15">
        <f t="shared" si="4"/>
        <v>0</v>
      </c>
      <c r="U134" s="15">
        <f t="shared" si="4"/>
        <v>0</v>
      </c>
      <c r="V134" s="15">
        <f t="shared" si="4"/>
        <v>0</v>
      </c>
      <c r="W134" s="15">
        <f t="shared" si="4"/>
        <v>0</v>
      </c>
      <c r="X134" s="15">
        <f t="shared" si="4"/>
        <v>0</v>
      </c>
      <c r="Y134" s="15">
        <f t="shared" si="4"/>
        <v>0</v>
      </c>
      <c r="Z134" s="15">
        <f t="shared" si="4"/>
        <v>0</v>
      </c>
      <c r="AA134" s="15">
        <f t="shared" si="4"/>
        <v>0</v>
      </c>
      <c r="AB134" s="15">
        <f t="shared" si="4"/>
        <v>0</v>
      </c>
      <c r="AC134" s="15">
        <f t="shared" si="4"/>
        <v>0</v>
      </c>
      <c r="AD134" s="15">
        <f t="shared" si="4"/>
        <v>0</v>
      </c>
      <c r="AE134" s="15">
        <f t="shared" si="4"/>
        <v>0</v>
      </c>
      <c r="AF134" s="15">
        <f t="shared" si="4"/>
        <v>0</v>
      </c>
      <c r="AG134" s="15">
        <f t="shared" si="4"/>
        <v>0</v>
      </c>
      <c r="AH134" s="15">
        <f t="shared" si="4"/>
        <v>0</v>
      </c>
      <c r="AI134" s="15">
        <f t="shared" si="4"/>
        <v>0</v>
      </c>
      <c r="AJ134" s="15">
        <f t="shared" si="4"/>
        <v>0</v>
      </c>
      <c r="AK134" s="15">
        <f t="shared" si="4"/>
        <v>0</v>
      </c>
      <c r="AL134" s="15">
        <f t="shared" si="4"/>
        <v>0</v>
      </c>
      <c r="AM134" s="45">
        <f t="shared" si="4"/>
        <v>0</v>
      </c>
      <c r="AN134" s="15">
        <f t="shared" si="4"/>
        <v>0</v>
      </c>
      <c r="AO134" s="15">
        <f t="shared" si="4"/>
        <v>0</v>
      </c>
      <c r="AP134" s="15">
        <f t="shared" si="4"/>
        <v>0</v>
      </c>
      <c r="AQ134" s="15">
        <f t="shared" si="4"/>
        <v>0</v>
      </c>
      <c r="AR134" s="15">
        <f t="shared" si="4"/>
        <v>0</v>
      </c>
      <c r="AS134" s="15">
        <f t="shared" si="4"/>
        <v>0</v>
      </c>
      <c r="AT134" s="15">
        <f t="shared" si="4"/>
        <v>0</v>
      </c>
      <c r="AU134" s="15">
        <f t="shared" si="4"/>
        <v>0</v>
      </c>
      <c r="AV134" s="15">
        <f t="shared" si="4"/>
        <v>0</v>
      </c>
      <c r="AW134" s="15">
        <f t="shared" si="4"/>
        <v>0</v>
      </c>
      <c r="AX134" s="15">
        <f t="shared" si="4"/>
        <v>0</v>
      </c>
    </row>
    <row r="135" spans="1:53" s="79" customFormat="1" ht="15" customHeight="1" x14ac:dyDescent="0.2">
      <c r="B135" s="14"/>
      <c r="C135" s="8" t="s">
        <v>32</v>
      </c>
      <c r="D135" s="8"/>
      <c r="E135" s="80"/>
      <c r="F135" s="10">
        <f t="shared" ref="F135:AX135" si="5">MIN(F5:F132)</f>
        <v>1553</v>
      </c>
      <c r="G135" s="10">
        <f t="shared" si="5"/>
        <v>725</v>
      </c>
      <c r="H135" s="81">
        <f t="shared" si="5"/>
        <v>0.93650793650793651</v>
      </c>
      <c r="I135" s="10">
        <f t="shared" si="5"/>
        <v>5.7</v>
      </c>
      <c r="J135" s="10">
        <f t="shared" si="5"/>
        <v>0</v>
      </c>
      <c r="K135" s="10">
        <f t="shared" si="5"/>
        <v>51</v>
      </c>
      <c r="L135" s="10">
        <f t="shared" si="5"/>
        <v>0</v>
      </c>
      <c r="M135" s="10">
        <f t="shared" si="5"/>
        <v>608</v>
      </c>
      <c r="N135" s="10">
        <f t="shared" si="5"/>
        <v>0</v>
      </c>
      <c r="O135" s="10">
        <f t="shared" si="5"/>
        <v>0</v>
      </c>
      <c r="P135" s="10">
        <f t="shared" si="5"/>
        <v>0</v>
      </c>
      <c r="Q135" s="10">
        <f t="shared" si="5"/>
        <v>0</v>
      </c>
      <c r="R135" s="10">
        <f t="shared" si="5"/>
        <v>0</v>
      </c>
      <c r="S135" s="10">
        <f t="shared" si="5"/>
        <v>0</v>
      </c>
      <c r="T135" s="10">
        <f t="shared" si="5"/>
        <v>0</v>
      </c>
      <c r="U135" s="10">
        <f t="shared" si="5"/>
        <v>0</v>
      </c>
      <c r="V135" s="10">
        <f t="shared" si="5"/>
        <v>0</v>
      </c>
      <c r="W135" s="10">
        <f t="shared" si="5"/>
        <v>0</v>
      </c>
      <c r="X135" s="10">
        <f t="shared" si="5"/>
        <v>0</v>
      </c>
      <c r="Y135" s="10">
        <f t="shared" si="5"/>
        <v>0</v>
      </c>
      <c r="Z135" s="10">
        <f t="shared" si="5"/>
        <v>0</v>
      </c>
      <c r="AA135" s="10">
        <f t="shared" si="5"/>
        <v>0</v>
      </c>
      <c r="AB135" s="10">
        <f t="shared" si="5"/>
        <v>0</v>
      </c>
      <c r="AC135" s="10">
        <f t="shared" si="5"/>
        <v>0</v>
      </c>
      <c r="AD135" s="10">
        <f t="shared" si="5"/>
        <v>0</v>
      </c>
      <c r="AE135" s="10">
        <f t="shared" si="5"/>
        <v>0</v>
      </c>
      <c r="AF135" s="10">
        <f t="shared" si="5"/>
        <v>0</v>
      </c>
      <c r="AG135" s="10">
        <f t="shared" si="5"/>
        <v>0</v>
      </c>
      <c r="AH135" s="10">
        <f t="shared" si="5"/>
        <v>0</v>
      </c>
      <c r="AI135" s="10">
        <f t="shared" si="5"/>
        <v>0</v>
      </c>
      <c r="AJ135" s="10">
        <f t="shared" si="5"/>
        <v>0</v>
      </c>
      <c r="AK135" s="10">
        <f t="shared" si="5"/>
        <v>0</v>
      </c>
      <c r="AL135" s="10">
        <f t="shared" si="5"/>
        <v>0</v>
      </c>
      <c r="AM135" s="46">
        <f t="shared" si="5"/>
        <v>0</v>
      </c>
      <c r="AN135" s="10">
        <f t="shared" si="5"/>
        <v>0</v>
      </c>
      <c r="AO135" s="10">
        <f t="shared" si="5"/>
        <v>0</v>
      </c>
      <c r="AP135" s="10">
        <f t="shared" si="5"/>
        <v>0</v>
      </c>
      <c r="AQ135" s="10">
        <f t="shared" si="5"/>
        <v>0</v>
      </c>
      <c r="AR135" s="10">
        <f t="shared" si="5"/>
        <v>0</v>
      </c>
      <c r="AS135" s="10">
        <f t="shared" si="5"/>
        <v>0</v>
      </c>
      <c r="AT135" s="10">
        <f t="shared" si="5"/>
        <v>0</v>
      </c>
      <c r="AU135" s="10">
        <f t="shared" si="5"/>
        <v>0</v>
      </c>
      <c r="AV135" s="10">
        <f t="shared" si="5"/>
        <v>0</v>
      </c>
      <c r="AW135" s="10">
        <f t="shared" si="5"/>
        <v>0</v>
      </c>
      <c r="AX135" s="10">
        <f t="shared" si="5"/>
        <v>0</v>
      </c>
    </row>
    <row r="136" spans="1:53" s="79" customFormat="1" ht="15" customHeight="1" x14ac:dyDescent="0.2">
      <c r="B136" s="14"/>
      <c r="C136" s="8" t="s">
        <v>33</v>
      </c>
      <c r="D136" s="8"/>
      <c r="E136" s="80"/>
      <c r="F136" s="10">
        <f t="shared" ref="F136:AX136" si="6">MAX(F5:F132)</f>
        <v>382831</v>
      </c>
      <c r="G136" s="10">
        <f t="shared" si="6"/>
        <v>144115</v>
      </c>
      <c r="H136" s="81">
        <f t="shared" si="6"/>
        <v>3.4028181289947703</v>
      </c>
      <c r="I136" s="10">
        <f t="shared" si="6"/>
        <v>53492.2</v>
      </c>
      <c r="J136" s="10">
        <f t="shared" si="6"/>
        <v>9301</v>
      </c>
      <c r="K136" s="10">
        <f t="shared" si="6"/>
        <v>764</v>
      </c>
      <c r="L136" s="10">
        <f t="shared" si="6"/>
        <v>0</v>
      </c>
      <c r="M136" s="10">
        <f t="shared" si="6"/>
        <v>140322</v>
      </c>
      <c r="N136" s="10">
        <f t="shared" si="6"/>
        <v>129115</v>
      </c>
      <c r="O136" s="10">
        <f t="shared" si="6"/>
        <v>124758</v>
      </c>
      <c r="P136" s="10">
        <f t="shared" si="6"/>
        <v>84741</v>
      </c>
      <c r="Q136" s="10">
        <f t="shared" si="6"/>
        <v>144115</v>
      </c>
      <c r="R136" s="10">
        <f t="shared" si="6"/>
        <v>0</v>
      </c>
      <c r="S136" s="10">
        <f t="shared" si="6"/>
        <v>0</v>
      </c>
      <c r="T136" s="10">
        <f t="shared" si="6"/>
        <v>0</v>
      </c>
      <c r="U136" s="10">
        <f t="shared" si="6"/>
        <v>0</v>
      </c>
      <c r="V136" s="10">
        <f t="shared" si="6"/>
        <v>0</v>
      </c>
      <c r="W136" s="10">
        <f t="shared" si="6"/>
        <v>0</v>
      </c>
      <c r="X136" s="10">
        <f t="shared" si="6"/>
        <v>0</v>
      </c>
      <c r="Y136" s="10">
        <f t="shared" si="6"/>
        <v>0</v>
      </c>
      <c r="Z136" s="10">
        <f t="shared" si="6"/>
        <v>0</v>
      </c>
      <c r="AA136" s="10">
        <f t="shared" si="6"/>
        <v>0</v>
      </c>
      <c r="AB136" s="10">
        <f t="shared" si="6"/>
        <v>0</v>
      </c>
      <c r="AC136" s="10">
        <f t="shared" si="6"/>
        <v>0</v>
      </c>
      <c r="AD136" s="10">
        <f t="shared" si="6"/>
        <v>0</v>
      </c>
      <c r="AE136" s="10">
        <f t="shared" si="6"/>
        <v>0</v>
      </c>
      <c r="AF136" s="10">
        <f t="shared" si="6"/>
        <v>0</v>
      </c>
      <c r="AG136" s="10">
        <f t="shared" si="6"/>
        <v>0</v>
      </c>
      <c r="AH136" s="10">
        <f t="shared" si="6"/>
        <v>0</v>
      </c>
      <c r="AI136" s="10">
        <f t="shared" si="6"/>
        <v>0</v>
      </c>
      <c r="AJ136" s="10">
        <f t="shared" si="6"/>
        <v>0</v>
      </c>
      <c r="AK136" s="10">
        <f t="shared" si="6"/>
        <v>0</v>
      </c>
      <c r="AL136" s="10">
        <f t="shared" si="6"/>
        <v>0</v>
      </c>
      <c r="AM136" s="46">
        <f t="shared" si="6"/>
        <v>0</v>
      </c>
      <c r="AN136" s="10">
        <f t="shared" si="6"/>
        <v>0</v>
      </c>
      <c r="AO136" s="10">
        <f t="shared" si="6"/>
        <v>0</v>
      </c>
      <c r="AP136" s="10">
        <f t="shared" si="6"/>
        <v>0</v>
      </c>
      <c r="AQ136" s="10">
        <f t="shared" si="6"/>
        <v>0</v>
      </c>
      <c r="AR136" s="10">
        <f t="shared" si="6"/>
        <v>0</v>
      </c>
      <c r="AS136" s="10">
        <f t="shared" si="6"/>
        <v>0</v>
      </c>
      <c r="AT136" s="10">
        <f t="shared" si="6"/>
        <v>0</v>
      </c>
      <c r="AU136" s="10">
        <f t="shared" si="6"/>
        <v>0</v>
      </c>
      <c r="AV136" s="10">
        <f t="shared" si="6"/>
        <v>0</v>
      </c>
      <c r="AW136" s="10">
        <f t="shared" si="6"/>
        <v>0</v>
      </c>
      <c r="AX136" s="10">
        <f t="shared" si="6"/>
        <v>0</v>
      </c>
    </row>
    <row r="137" spans="1:53" s="79" customFormat="1" ht="15" customHeight="1" x14ac:dyDescent="0.2">
      <c r="B137" s="14"/>
      <c r="C137" s="8" t="s">
        <v>34</v>
      </c>
      <c r="D137" s="8"/>
      <c r="E137" s="80"/>
      <c r="F137" s="10">
        <f t="shared" ref="F137:AX137" si="7">AVERAGE(F5:F132)</f>
        <v>63801.3359375</v>
      </c>
      <c r="G137" s="10">
        <f t="shared" si="7"/>
        <v>26299.453125</v>
      </c>
      <c r="H137" s="81">
        <f t="shared" si="7"/>
        <v>2.1196640786433103</v>
      </c>
      <c r="I137" s="10">
        <f t="shared" si="7"/>
        <v>5528.0968750000029</v>
      </c>
      <c r="J137" s="10">
        <f t="shared" si="7"/>
        <v>796.74687500000005</v>
      </c>
      <c r="K137" s="10">
        <f t="shared" si="7"/>
        <v>437.49851562500004</v>
      </c>
      <c r="L137" s="10" t="e">
        <f t="shared" si="7"/>
        <v>#DIV/0!</v>
      </c>
      <c r="M137" s="10">
        <f t="shared" si="7"/>
        <v>22978.539140624998</v>
      </c>
      <c r="N137" s="10">
        <f t="shared" si="7"/>
        <v>22188.7265625</v>
      </c>
      <c r="O137" s="10">
        <f t="shared" si="7"/>
        <v>11721.2109375</v>
      </c>
      <c r="P137" s="10">
        <f t="shared" si="7"/>
        <v>5340.3984375</v>
      </c>
      <c r="Q137" s="10">
        <f t="shared" si="7"/>
        <v>23401.0625</v>
      </c>
      <c r="R137" s="10" t="e">
        <f t="shared" si="7"/>
        <v>#DIV/0!</v>
      </c>
      <c r="S137" s="10" t="e">
        <f t="shared" si="7"/>
        <v>#DIV/0!</v>
      </c>
      <c r="T137" s="10" t="e">
        <f t="shared" si="7"/>
        <v>#DIV/0!</v>
      </c>
      <c r="U137" s="10" t="e">
        <f t="shared" si="7"/>
        <v>#DIV/0!</v>
      </c>
      <c r="V137" s="10" t="e">
        <f t="shared" si="7"/>
        <v>#DIV/0!</v>
      </c>
      <c r="W137" s="10" t="e">
        <f t="shared" si="7"/>
        <v>#DIV/0!</v>
      </c>
      <c r="X137" s="10" t="e">
        <f t="shared" si="7"/>
        <v>#DIV/0!</v>
      </c>
      <c r="Y137" s="10" t="e">
        <f t="shared" si="7"/>
        <v>#DIV/0!</v>
      </c>
      <c r="Z137" s="10" t="e">
        <f t="shared" si="7"/>
        <v>#DIV/0!</v>
      </c>
      <c r="AA137" s="10" t="e">
        <f t="shared" si="7"/>
        <v>#DIV/0!</v>
      </c>
      <c r="AB137" s="10" t="e">
        <f t="shared" si="7"/>
        <v>#DIV/0!</v>
      </c>
      <c r="AC137" s="10" t="e">
        <f t="shared" si="7"/>
        <v>#DIV/0!</v>
      </c>
      <c r="AD137" s="10" t="e">
        <f t="shared" si="7"/>
        <v>#DIV/0!</v>
      </c>
      <c r="AE137" s="10" t="e">
        <f t="shared" si="7"/>
        <v>#DIV/0!</v>
      </c>
      <c r="AF137" s="10" t="e">
        <f t="shared" si="7"/>
        <v>#DIV/0!</v>
      </c>
      <c r="AG137" s="10" t="e">
        <f t="shared" si="7"/>
        <v>#DIV/0!</v>
      </c>
      <c r="AH137" s="10" t="e">
        <f t="shared" si="7"/>
        <v>#DIV/0!</v>
      </c>
      <c r="AI137" s="10" t="e">
        <f t="shared" si="7"/>
        <v>#DIV/0!</v>
      </c>
      <c r="AJ137" s="10" t="e">
        <f t="shared" si="7"/>
        <v>#DIV/0!</v>
      </c>
      <c r="AK137" s="10" t="e">
        <f t="shared" si="7"/>
        <v>#DIV/0!</v>
      </c>
      <c r="AL137" s="10" t="e">
        <f t="shared" si="7"/>
        <v>#DIV/0!</v>
      </c>
      <c r="AM137" s="46" t="e">
        <f t="shared" si="7"/>
        <v>#DIV/0!</v>
      </c>
      <c r="AN137" s="10" t="e">
        <f t="shared" si="7"/>
        <v>#DIV/0!</v>
      </c>
      <c r="AO137" s="10" t="e">
        <f t="shared" si="7"/>
        <v>#DIV/0!</v>
      </c>
      <c r="AP137" s="10" t="e">
        <f t="shared" si="7"/>
        <v>#DIV/0!</v>
      </c>
      <c r="AQ137" s="10" t="e">
        <f t="shared" si="7"/>
        <v>#DIV/0!</v>
      </c>
      <c r="AR137" s="10" t="e">
        <f t="shared" si="7"/>
        <v>#DIV/0!</v>
      </c>
      <c r="AS137" s="10" t="e">
        <f t="shared" si="7"/>
        <v>#DIV/0!</v>
      </c>
      <c r="AT137" s="10" t="e">
        <f t="shared" si="7"/>
        <v>#DIV/0!</v>
      </c>
      <c r="AU137" s="10" t="e">
        <f t="shared" si="7"/>
        <v>#DIV/0!</v>
      </c>
      <c r="AV137" s="10" t="e">
        <f t="shared" si="7"/>
        <v>#DIV/0!</v>
      </c>
      <c r="AW137" s="10" t="e">
        <f t="shared" si="7"/>
        <v>#DIV/0!</v>
      </c>
      <c r="AX137" s="10" t="e">
        <f t="shared" si="7"/>
        <v>#DIV/0!</v>
      </c>
    </row>
    <row r="138" spans="1:53" s="79" customFormat="1" ht="15.75" customHeight="1" thickBot="1" x14ac:dyDescent="0.25">
      <c r="B138" s="17"/>
      <c r="C138" s="16" t="s">
        <v>35</v>
      </c>
      <c r="D138" s="16"/>
      <c r="E138" s="80"/>
      <c r="F138" s="18">
        <f t="shared" ref="F138:AX138" si="8">MEDIAN(F5:F132)</f>
        <v>24526</v>
      </c>
      <c r="G138" s="18">
        <f t="shared" si="8"/>
        <v>12638.5</v>
      </c>
      <c r="H138" s="82">
        <f t="shared" si="8"/>
        <v>2.1683943151493059</v>
      </c>
      <c r="I138" s="18">
        <f t="shared" si="8"/>
        <v>3133.75</v>
      </c>
      <c r="J138" s="18">
        <f t="shared" si="8"/>
        <v>7.9499999999999993</v>
      </c>
      <c r="K138" s="18">
        <f t="shared" si="8"/>
        <v>431.5</v>
      </c>
      <c r="L138" s="18" t="e">
        <f t="shared" si="8"/>
        <v>#NUM!</v>
      </c>
      <c r="M138" s="18">
        <f t="shared" si="8"/>
        <v>9614.5</v>
      </c>
      <c r="N138" s="18">
        <f t="shared" si="8"/>
        <v>8832.5</v>
      </c>
      <c r="O138" s="18">
        <f t="shared" si="8"/>
        <v>0</v>
      </c>
      <c r="P138" s="18">
        <f t="shared" si="8"/>
        <v>0</v>
      </c>
      <c r="Q138" s="18">
        <f t="shared" si="8"/>
        <v>6608</v>
      </c>
      <c r="R138" s="18" t="e">
        <f t="shared" si="8"/>
        <v>#NUM!</v>
      </c>
      <c r="S138" s="18" t="e">
        <f t="shared" si="8"/>
        <v>#NUM!</v>
      </c>
      <c r="T138" s="18" t="e">
        <f t="shared" si="8"/>
        <v>#NUM!</v>
      </c>
      <c r="U138" s="18" t="e">
        <f t="shared" si="8"/>
        <v>#NUM!</v>
      </c>
      <c r="V138" s="18" t="e">
        <f t="shared" si="8"/>
        <v>#NUM!</v>
      </c>
      <c r="W138" s="18" t="e">
        <f t="shared" si="8"/>
        <v>#NUM!</v>
      </c>
      <c r="X138" s="18" t="e">
        <f t="shared" si="8"/>
        <v>#NUM!</v>
      </c>
      <c r="Y138" s="18" t="e">
        <f t="shared" si="8"/>
        <v>#NUM!</v>
      </c>
      <c r="Z138" s="18" t="e">
        <f t="shared" si="8"/>
        <v>#NUM!</v>
      </c>
      <c r="AA138" s="18" t="e">
        <f t="shared" si="8"/>
        <v>#NUM!</v>
      </c>
      <c r="AB138" s="18" t="e">
        <f t="shared" si="8"/>
        <v>#NUM!</v>
      </c>
      <c r="AC138" s="18" t="e">
        <f t="shared" si="8"/>
        <v>#NUM!</v>
      </c>
      <c r="AD138" s="18" t="e">
        <f t="shared" si="8"/>
        <v>#NUM!</v>
      </c>
      <c r="AE138" s="18" t="e">
        <f t="shared" si="8"/>
        <v>#NUM!</v>
      </c>
      <c r="AF138" s="18" t="e">
        <f t="shared" si="8"/>
        <v>#NUM!</v>
      </c>
      <c r="AG138" s="18" t="e">
        <f t="shared" si="8"/>
        <v>#NUM!</v>
      </c>
      <c r="AH138" s="18" t="e">
        <f t="shared" si="8"/>
        <v>#NUM!</v>
      </c>
      <c r="AI138" s="18" t="e">
        <f t="shared" si="8"/>
        <v>#NUM!</v>
      </c>
      <c r="AJ138" s="18" t="e">
        <f t="shared" si="8"/>
        <v>#NUM!</v>
      </c>
      <c r="AK138" s="18" t="e">
        <f t="shared" si="8"/>
        <v>#NUM!</v>
      </c>
      <c r="AL138" s="18" t="e">
        <f t="shared" si="8"/>
        <v>#NUM!</v>
      </c>
      <c r="AM138" s="47" t="e">
        <f t="shared" si="8"/>
        <v>#NUM!</v>
      </c>
      <c r="AN138" s="18" t="e">
        <f t="shared" si="8"/>
        <v>#NUM!</v>
      </c>
      <c r="AO138" s="18" t="e">
        <f t="shared" si="8"/>
        <v>#NUM!</v>
      </c>
      <c r="AP138" s="18" t="e">
        <f t="shared" si="8"/>
        <v>#NUM!</v>
      </c>
      <c r="AQ138" s="18" t="e">
        <f t="shared" si="8"/>
        <v>#NUM!</v>
      </c>
      <c r="AR138" s="18" t="e">
        <f t="shared" si="8"/>
        <v>#NUM!</v>
      </c>
      <c r="AS138" s="18" t="e">
        <f t="shared" si="8"/>
        <v>#NUM!</v>
      </c>
      <c r="AT138" s="18" t="e">
        <f t="shared" si="8"/>
        <v>#NUM!</v>
      </c>
      <c r="AU138" s="18" t="e">
        <f t="shared" si="8"/>
        <v>#NUM!</v>
      </c>
      <c r="AV138" s="18" t="e">
        <f t="shared" si="8"/>
        <v>#NUM!</v>
      </c>
      <c r="AW138" s="18" t="e">
        <f t="shared" si="8"/>
        <v>#NUM!</v>
      </c>
      <c r="AX138" s="18" t="e">
        <f t="shared" si="8"/>
        <v>#NUM!</v>
      </c>
    </row>
    <row r="139" spans="1:53" ht="13.5" thickTop="1" x14ac:dyDescent="0.2">
      <c r="B139" s="48" t="s">
        <v>27</v>
      </c>
      <c r="F139" s="49"/>
      <c r="G139" s="49"/>
      <c r="H139" s="49"/>
      <c r="I139" s="49"/>
      <c r="J139" s="50"/>
      <c r="K139" s="50"/>
      <c r="L139" s="50"/>
      <c r="M139" s="593">
        <f>M134/$G$134</f>
        <v>0.87372688060885295</v>
      </c>
      <c r="N139" s="593">
        <f t="shared" ref="N139:Q139" si="9">N134/$G$134</f>
        <v>0.84369535963497344</v>
      </c>
      <c r="O139" s="593">
        <f t="shared" si="9"/>
        <v>0.44568268708058922</v>
      </c>
      <c r="P139" s="593">
        <f t="shared" si="9"/>
        <v>0.20306119720882979</v>
      </c>
      <c r="Q139" s="593">
        <f t="shared" si="9"/>
        <v>0.88979274165040267</v>
      </c>
      <c r="R139" s="49"/>
      <c r="S139" s="50"/>
      <c r="T139" s="50"/>
      <c r="U139" s="50"/>
      <c r="V139" s="50"/>
      <c r="W139" s="50"/>
      <c r="X139" s="49"/>
      <c r="Y139" s="49"/>
      <c r="Z139" s="49"/>
      <c r="AA139" s="49"/>
      <c r="AB139" s="50"/>
      <c r="AC139" s="50"/>
      <c r="AD139" s="50"/>
      <c r="AE139" s="50"/>
      <c r="AF139" s="50"/>
      <c r="AG139" s="49"/>
      <c r="AH139" s="49"/>
      <c r="AI139" s="49"/>
      <c r="AJ139" s="49"/>
      <c r="AK139" s="50"/>
      <c r="AL139" s="50"/>
      <c r="AM139" s="83"/>
      <c r="AN139" s="50"/>
      <c r="AO139" s="50"/>
      <c r="AP139" s="49"/>
      <c r="AQ139" s="49"/>
      <c r="AR139" s="49"/>
      <c r="AS139" s="49"/>
      <c r="AT139" s="50"/>
      <c r="AU139" s="50"/>
      <c r="AV139" s="50"/>
      <c r="AW139" s="50"/>
      <c r="AX139" s="50"/>
    </row>
    <row r="141" spans="1:53" x14ac:dyDescent="0.2">
      <c r="A141" s="85">
        <v>1</v>
      </c>
      <c r="B141" s="85">
        <v>2</v>
      </c>
      <c r="C141" s="85">
        <v>3</v>
      </c>
      <c r="D141" s="85">
        <v>4</v>
      </c>
      <c r="E141" s="85">
        <v>5</v>
      </c>
      <c r="F141" s="85">
        <v>6</v>
      </c>
      <c r="G141" s="85">
        <v>7</v>
      </c>
      <c r="H141" s="85">
        <v>8</v>
      </c>
      <c r="I141" s="85">
        <v>9</v>
      </c>
      <c r="J141" s="85">
        <v>10</v>
      </c>
      <c r="K141" s="85">
        <v>11</v>
      </c>
      <c r="L141" s="85">
        <v>12</v>
      </c>
      <c r="M141" s="85">
        <v>13</v>
      </c>
      <c r="N141" s="30">
        <v>14</v>
      </c>
      <c r="O141" s="30">
        <v>15</v>
      </c>
      <c r="P141" s="30">
        <v>16</v>
      </c>
      <c r="Q141" s="30">
        <v>17</v>
      </c>
      <c r="R141" s="30">
        <v>18</v>
      </c>
      <c r="S141" s="30">
        <v>19</v>
      </c>
      <c r="T141" s="30">
        <v>20</v>
      </c>
      <c r="U141" s="30">
        <v>21</v>
      </c>
      <c r="V141" s="30">
        <v>22</v>
      </c>
      <c r="W141" s="30">
        <v>23</v>
      </c>
      <c r="X141" s="30">
        <v>24</v>
      </c>
      <c r="Y141" s="30">
        <v>25</v>
      </c>
      <c r="Z141" s="30">
        <v>26</v>
      </c>
      <c r="AA141" s="30">
        <v>27</v>
      </c>
      <c r="AB141" s="30">
        <v>28</v>
      </c>
      <c r="AC141" s="30">
        <v>29</v>
      </c>
      <c r="AD141" s="30">
        <v>30</v>
      </c>
      <c r="AE141" s="30">
        <v>31</v>
      </c>
      <c r="AF141" s="30">
        <v>32</v>
      </c>
      <c r="AG141" s="30">
        <v>33</v>
      </c>
      <c r="AH141" s="30">
        <v>34</v>
      </c>
      <c r="AI141" s="30">
        <v>35</v>
      </c>
      <c r="AJ141" s="30">
        <v>36</v>
      </c>
      <c r="AK141" s="30">
        <v>37</v>
      </c>
      <c r="AL141" s="30">
        <v>38</v>
      </c>
      <c r="AM141" s="30">
        <v>39</v>
      </c>
      <c r="AN141" s="2">
        <v>40</v>
      </c>
      <c r="AO141" s="30">
        <v>41</v>
      </c>
      <c r="AP141" s="30">
        <v>42</v>
      </c>
      <c r="AQ141" s="30">
        <v>43</v>
      </c>
      <c r="AR141" s="30">
        <v>44</v>
      </c>
      <c r="AS141" s="30">
        <v>45</v>
      </c>
      <c r="AT141" s="30">
        <v>46</v>
      </c>
      <c r="AU141" s="30">
        <v>47</v>
      </c>
      <c r="AV141" s="30">
        <v>48</v>
      </c>
      <c r="AW141" s="30">
        <v>49</v>
      </c>
      <c r="AX141" s="30">
        <v>50</v>
      </c>
      <c r="AY141" s="30"/>
      <c r="AZ141" s="30"/>
      <c r="BA141" s="30"/>
    </row>
    <row r="142" spans="1:53" x14ac:dyDescent="0.2">
      <c r="C142" s="24"/>
      <c r="D142" s="24"/>
    </row>
    <row r="143" spans="1:53" ht="15.75" x14ac:dyDescent="0.25">
      <c r="B143" s="86" t="s">
        <v>9</v>
      </c>
      <c r="C143" s="87"/>
      <c r="D143" s="87"/>
      <c r="E143" s="88"/>
      <c r="F143" s="52"/>
      <c r="G143" s="52"/>
      <c r="H143" s="52"/>
      <c r="I143" s="52"/>
      <c r="J143" s="52"/>
      <c r="K143" s="52"/>
    </row>
    <row r="144" spans="1:53" x14ac:dyDescent="0.2">
      <c r="A144" s="9">
        <v>10500</v>
      </c>
      <c r="B144" s="89" t="str">
        <f>VLOOKUP($A144,$A$5:$K$132,2,FALSE)</f>
        <v xml:space="preserve">Bayside Council </v>
      </c>
      <c r="C144" s="9" t="str">
        <f t="shared" ref="C144:C173" si="10">VLOOKUP($A144,$A$5:$K$133,3,FALSE)</f>
        <v>SSROC</v>
      </c>
      <c r="D144" s="51" t="str">
        <f t="shared" ref="D144:D173" si="11">VLOOKUP($A144,$A$5:$K$133,4,FALSE)</f>
        <v>S</v>
      </c>
      <c r="E144" s="10">
        <f>VLOOKUP($A144,$A$5:$AX$132,5,FALSE)</f>
        <v>0</v>
      </c>
      <c r="F144" s="10">
        <f>VLOOKUP($A144,$A$5:$AX$132,6,FALSE)</f>
        <v>181472</v>
      </c>
      <c r="G144" s="10">
        <f>VLOOKUP($A144,$A$5:$AX$132,7,FALSE)</f>
        <v>66666</v>
      </c>
      <c r="H144" s="10">
        <f>VLOOKUP($A144,$A$5:$AX$132,8,FALSE)</f>
        <v>2.7221072210722106</v>
      </c>
      <c r="I144" s="10">
        <f>VLOOKUP($A144,$A$5:$AX$132,9,FALSE)</f>
        <v>49.9</v>
      </c>
      <c r="J144" s="10">
        <f>VLOOKUP($A144,$A$5:$AX$132,10,FALSE)</f>
        <v>3637.4</v>
      </c>
      <c r="K144" s="10">
        <f>VLOOKUP($A144,$A$5:$AX$132,11,FALSE)</f>
        <v>517.08000000000004</v>
      </c>
      <c r="L144" s="10" t="str">
        <f>VLOOKUP($A144,$A$4:$AX$132,12,FALSE)</f>
        <v>Y</v>
      </c>
      <c r="M144" s="10">
        <f>VLOOKUP($A144,$A$4:$AX$132,13,FALSE)</f>
        <v>66666</v>
      </c>
      <c r="N144" s="10">
        <f>VLOOKUP($A144,$A$4:$AX$132,14,FALSE)</f>
        <v>65966</v>
      </c>
      <c r="O144" s="10">
        <f>VLOOKUP($A144,$A$4:$AX$132,15,FALSE)</f>
        <v>16102</v>
      </c>
      <c r="P144" s="10">
        <f>VLOOKUP($A144,$A$4:$AX$132,16,FALSE)</f>
        <v>0</v>
      </c>
      <c r="Q144" s="10">
        <f>VLOOKUP($A144,$A$4:$AX$132,17,FALSE)</f>
        <v>66666</v>
      </c>
      <c r="R144" s="10" t="str">
        <f>VLOOKUP($A144,$A$4:$AX$132,18,FALSE)</f>
        <v>Yes</v>
      </c>
      <c r="S144" s="10" t="str">
        <f>VLOOKUP($A144,$A$4:$AX$132,19,FALSE)</f>
        <v>N/A</v>
      </c>
      <c r="T144" s="10">
        <f>VLOOKUP($A144,$A$4:$AX$132,20,FALSE)</f>
        <v>0</v>
      </c>
      <c r="U144" s="10">
        <f>VLOOKUP($A144,$A$4:$AX$132,21,FALSE)</f>
        <v>0</v>
      </c>
      <c r="V144" s="10">
        <f>VLOOKUP($A144,$A$4:$AX$132,22,FALSE)</f>
        <v>0</v>
      </c>
      <c r="W144" s="10">
        <f>VLOOKUP($A144,$A$4:$AX$132,23,FALSE)</f>
        <v>0</v>
      </c>
      <c r="X144" s="10">
        <f t="shared" ref="X144:X173" si="12">VLOOKUP($A144,$A$4:$AX$132,24,FALSE)</f>
        <v>0</v>
      </c>
      <c r="Y144" s="10">
        <f t="shared" ref="Y144:Y173" si="13">VLOOKUP($A144,$A$4:$AX$132,25,FALSE)</f>
        <v>0</v>
      </c>
      <c r="Z144" s="10">
        <f t="shared" ref="Z144:Z173" si="14">VLOOKUP($A144,$A$4:$AX$132,26,FALSE)</f>
        <v>0</v>
      </c>
      <c r="AA144" s="10">
        <f t="shared" ref="AA144:AA173" si="15">VLOOKUP($A144,$A$4:$AX$132,27,FALSE)</f>
        <v>0</v>
      </c>
      <c r="AB144" s="10">
        <f t="shared" ref="AB144:AB173" si="16">VLOOKUP($A144,$A$4:$AX$132,28,FALSE)</f>
        <v>0</v>
      </c>
      <c r="AC144" s="10">
        <f t="shared" ref="AC144:AC173" si="17">VLOOKUP($A144,$A$4:$AX$132,29,FALSE)</f>
        <v>0</v>
      </c>
      <c r="AD144" s="10">
        <f t="shared" ref="AD144:AD173" si="18">VLOOKUP($A144,$A$4:$AX$132,30,FALSE)</f>
        <v>0</v>
      </c>
      <c r="AE144" s="10">
        <f t="shared" ref="AE144:AE173" si="19">VLOOKUP($A144,$A$4:$AX$132,31,FALSE)</f>
        <v>0</v>
      </c>
      <c r="AF144" s="10">
        <f t="shared" ref="AF144:AF173" si="20">VLOOKUP($A144,$A$4:$AX$132,32,FALSE)</f>
        <v>0</v>
      </c>
      <c r="AG144" s="10">
        <f t="shared" ref="AG144:AG173" si="21">VLOOKUP($A144,$A$4:$AX$132,33,FALSE)</f>
        <v>0</v>
      </c>
      <c r="AH144" s="10">
        <f t="shared" ref="AH144:AH173" si="22">VLOOKUP($A144,$A$4:$AX$132,34,FALSE)</f>
        <v>0</v>
      </c>
      <c r="AI144" s="10">
        <f t="shared" ref="AI144:AI173" si="23">VLOOKUP($A144,$A$4:$AX$132,35,FALSE)</f>
        <v>0</v>
      </c>
      <c r="AJ144" s="10">
        <f t="shared" ref="AJ144:AJ173" si="24">VLOOKUP($A144,$A$4:$AX$132,36,FALSE)</f>
        <v>0</v>
      </c>
      <c r="AK144" s="10">
        <f t="shared" ref="AK144:AK173" si="25">VLOOKUP($A144,$A$4:$AX$132,37,FALSE)</f>
        <v>0</v>
      </c>
      <c r="AL144" s="10">
        <f t="shared" ref="AL144:AL173" si="26">VLOOKUP($A144,$A$4:$AX$132,38,FALSE)</f>
        <v>0</v>
      </c>
      <c r="AM144" s="10">
        <f t="shared" ref="AM144:AM173" si="27">VLOOKUP($A144,$A$4:$AX$132,39,FALSE)</f>
        <v>0</v>
      </c>
      <c r="AN144" s="46">
        <f t="shared" ref="AN144:AN173" si="28">VLOOKUP($A144,$A$4:$AX$132,40,FALSE)</f>
        <v>0</v>
      </c>
      <c r="AO144" s="10">
        <f t="shared" ref="AO144:AO173" si="29">VLOOKUP($A144,$A$4:$AX$132,41,FALSE)</f>
        <v>0</v>
      </c>
      <c r="AP144" s="10">
        <f t="shared" ref="AP144:AP173" si="30">VLOOKUP($A144,$A$4:$AX$132,42,FALSE)</f>
        <v>0</v>
      </c>
      <c r="AQ144" s="10">
        <f t="shared" ref="AQ144:AQ173" si="31">VLOOKUP($A144,$A$4:$AX$132,43,FALSE)</f>
        <v>0</v>
      </c>
      <c r="AR144" s="10">
        <f t="shared" ref="AR144:AR173" si="32">VLOOKUP($A144,$A$4:$AX$132,44,FALSE)</f>
        <v>0</v>
      </c>
      <c r="AS144" s="10">
        <f t="shared" ref="AS144:AS173" si="33">VLOOKUP($A144,$A$4:$AX$132,45,FALSE)</f>
        <v>0</v>
      </c>
      <c r="AT144" s="10">
        <f t="shared" ref="AT144:AT173" si="34">VLOOKUP($A144,$A$4:$AX$132,46,FALSE)</f>
        <v>0</v>
      </c>
      <c r="AU144" s="10">
        <f t="shared" ref="AU144:AU173" si="35">VLOOKUP($A144,$A$4:$AX$132,47,FALSE)</f>
        <v>0</v>
      </c>
      <c r="AV144" s="10">
        <f t="shared" ref="AV144:AV173" si="36">VLOOKUP($A144,$A$4:$AX$132,48,FALSE)</f>
        <v>0</v>
      </c>
      <c r="AW144" s="10">
        <f t="shared" ref="AW144:AW173" si="37">VLOOKUP($A144,$A$4:$AX$132,49,FALSE)</f>
        <v>0</v>
      </c>
      <c r="AX144" s="10">
        <f t="shared" ref="AX144:AX173" si="38">VLOOKUP($A144,$A$4:$AX$132,50,FALSE)</f>
        <v>0</v>
      </c>
    </row>
    <row r="145" spans="1:50" x14ac:dyDescent="0.2">
      <c r="A145" s="8">
        <v>10750</v>
      </c>
      <c r="B145" s="89" t="str">
        <f t="shared" ref="B145:B172" si="39">VLOOKUP($A145,$A$5:$K$132,2,FALSE)</f>
        <v>Blacktown</v>
      </c>
      <c r="C145" s="9" t="str">
        <f t="shared" si="10"/>
        <v>WSROC</v>
      </c>
      <c r="D145" s="51" t="str">
        <f t="shared" si="11"/>
        <v>S</v>
      </c>
      <c r="E145" s="10">
        <f t="shared" ref="E145:E172" si="40">VLOOKUP($A145,$A$5:$AX$132,5,FALSE)</f>
        <v>0</v>
      </c>
      <c r="F145" s="10">
        <f t="shared" ref="F145:F172" si="41">VLOOKUP($A145,$A$5:$AX$132,6,FALSE)</f>
        <v>382831</v>
      </c>
      <c r="G145" s="10">
        <f t="shared" ref="G145:G172" si="42">VLOOKUP($A145,$A$5:$AX$132,7,FALSE)</f>
        <v>144115</v>
      </c>
      <c r="H145" s="10">
        <f t="shared" ref="H145:H172" si="43">VLOOKUP($A145,$A$5:$AX$132,8,FALSE)</f>
        <v>2.6564271588661832</v>
      </c>
      <c r="I145" s="10">
        <f t="shared" ref="I145:I172" si="44">VLOOKUP($A145,$A$5:$AX$132,9,FALSE)</f>
        <v>240</v>
      </c>
      <c r="J145" s="10">
        <f t="shared" ref="J145:J172" si="45">VLOOKUP($A145,$A$5:$AX$132,10,FALSE)</f>
        <v>1594.8</v>
      </c>
      <c r="K145" s="10">
        <f t="shared" ref="K145:K172" si="46">VLOOKUP($A145,$A$5:$AX$132,11,FALSE)</f>
        <v>589</v>
      </c>
      <c r="L145" s="10" t="str">
        <f t="shared" ref="L145:L172" si="47">VLOOKUP($A145,$A$4:$AX$132,12,FALSE)</f>
        <v>Y</v>
      </c>
      <c r="M145" s="10">
        <f t="shared" ref="M145:M172" si="48">VLOOKUP($A145,$A$4:$AX$132,13,FALSE)</f>
        <v>140322</v>
      </c>
      <c r="N145" s="10">
        <f t="shared" ref="N145:N172" si="49">VLOOKUP($A145,$A$4:$AX$132,14,FALSE)</f>
        <v>128870</v>
      </c>
      <c r="O145" s="10">
        <f t="shared" ref="O145:O172" si="50">VLOOKUP($A145,$A$4:$AX$132,15,FALSE)</f>
        <v>0</v>
      </c>
      <c r="P145" s="10">
        <f t="shared" ref="P145:P172" si="51">VLOOKUP($A145,$A$4:$AX$132,16,FALSE)</f>
        <v>0</v>
      </c>
      <c r="Q145" s="10">
        <f t="shared" ref="Q145:Q172" si="52">VLOOKUP($A145,$A$4:$AX$132,17,FALSE)</f>
        <v>144115</v>
      </c>
      <c r="R145" s="10" t="str">
        <f t="shared" ref="R145:R172" si="53">VLOOKUP($A145,$A$4:$AX$132,18,FALSE)</f>
        <v>Yes</v>
      </c>
      <c r="S145" s="10" t="str">
        <f t="shared" ref="S145:S172" si="54">VLOOKUP($A145,$A$4:$AX$132,19,FALSE)</f>
        <v>Chemical CleanOut - Station St, Rooty Hill NSW</v>
      </c>
      <c r="T145" s="10">
        <f t="shared" ref="T145:T172" si="55">VLOOKUP($A145,$A$4:$AX$132,20,FALSE)</f>
        <v>0</v>
      </c>
      <c r="U145" s="10">
        <f t="shared" ref="U145:U172" si="56">VLOOKUP($A145,$A$4:$AX$132,21,FALSE)</f>
        <v>0</v>
      </c>
      <c r="V145" s="10">
        <f t="shared" ref="V145:V172" si="57">VLOOKUP($A145,$A$4:$AX$132,22,FALSE)</f>
        <v>0</v>
      </c>
      <c r="W145" s="10">
        <f t="shared" ref="W145:W172" si="58">VLOOKUP($A145,$A$4:$AX$132,23,FALSE)</f>
        <v>0</v>
      </c>
      <c r="X145" s="10">
        <f t="shared" si="12"/>
        <v>0</v>
      </c>
      <c r="Y145" s="10">
        <f t="shared" si="13"/>
        <v>0</v>
      </c>
      <c r="Z145" s="10">
        <f t="shared" si="14"/>
        <v>0</v>
      </c>
      <c r="AA145" s="10">
        <f t="shared" si="15"/>
        <v>0</v>
      </c>
      <c r="AB145" s="10">
        <f t="shared" si="16"/>
        <v>0</v>
      </c>
      <c r="AC145" s="10">
        <f t="shared" si="17"/>
        <v>0</v>
      </c>
      <c r="AD145" s="10">
        <f t="shared" si="18"/>
        <v>0</v>
      </c>
      <c r="AE145" s="10">
        <f t="shared" si="19"/>
        <v>0</v>
      </c>
      <c r="AF145" s="10">
        <f t="shared" si="20"/>
        <v>0</v>
      </c>
      <c r="AG145" s="10">
        <f t="shared" si="21"/>
        <v>0</v>
      </c>
      <c r="AH145" s="10">
        <f t="shared" si="22"/>
        <v>0</v>
      </c>
      <c r="AI145" s="10">
        <f t="shared" si="23"/>
        <v>0</v>
      </c>
      <c r="AJ145" s="10">
        <f t="shared" si="24"/>
        <v>0</v>
      </c>
      <c r="AK145" s="10">
        <f t="shared" si="25"/>
        <v>0</v>
      </c>
      <c r="AL145" s="10">
        <f t="shared" si="26"/>
        <v>0</v>
      </c>
      <c r="AM145" s="10">
        <f t="shared" si="27"/>
        <v>0</v>
      </c>
      <c r="AN145" s="46">
        <f t="shared" si="28"/>
        <v>0</v>
      </c>
      <c r="AO145" s="10">
        <f t="shared" si="29"/>
        <v>0</v>
      </c>
      <c r="AP145" s="10">
        <f t="shared" si="30"/>
        <v>0</v>
      </c>
      <c r="AQ145" s="10">
        <f t="shared" si="31"/>
        <v>0</v>
      </c>
      <c r="AR145" s="10">
        <f t="shared" si="32"/>
        <v>0</v>
      </c>
      <c r="AS145" s="10">
        <f t="shared" si="33"/>
        <v>0</v>
      </c>
      <c r="AT145" s="10">
        <f t="shared" si="34"/>
        <v>0</v>
      </c>
      <c r="AU145" s="10">
        <f t="shared" si="35"/>
        <v>0</v>
      </c>
      <c r="AV145" s="10">
        <f t="shared" si="36"/>
        <v>0</v>
      </c>
      <c r="AW145" s="10">
        <f t="shared" si="37"/>
        <v>0</v>
      </c>
      <c r="AX145" s="10">
        <f t="shared" si="38"/>
        <v>0</v>
      </c>
    </row>
    <row r="146" spans="1:50" x14ac:dyDescent="0.2">
      <c r="A146" s="8">
        <v>11300</v>
      </c>
      <c r="B146" s="89" t="str">
        <f t="shared" si="39"/>
        <v>Burwood</v>
      </c>
      <c r="C146" s="9" t="str">
        <f t="shared" si="10"/>
        <v>SSROC</v>
      </c>
      <c r="D146" s="51" t="str">
        <f t="shared" si="11"/>
        <v>S</v>
      </c>
      <c r="E146" s="10">
        <f t="shared" si="40"/>
        <v>0</v>
      </c>
      <c r="F146" s="10">
        <f t="shared" si="41"/>
        <v>40866</v>
      </c>
      <c r="G146" s="10">
        <f t="shared" si="42"/>
        <v>14361</v>
      </c>
      <c r="H146" s="10">
        <f t="shared" si="43"/>
        <v>2.8456235638186755</v>
      </c>
      <c r="I146" s="10">
        <f t="shared" si="44"/>
        <v>7.1</v>
      </c>
      <c r="J146" s="10">
        <f t="shared" si="45"/>
        <v>5733.1</v>
      </c>
      <c r="K146" s="10">
        <f t="shared" si="46"/>
        <v>419.5</v>
      </c>
      <c r="L146" s="10" t="str">
        <f t="shared" si="47"/>
        <v>Y</v>
      </c>
      <c r="M146" s="10">
        <f t="shared" si="48"/>
        <v>14190</v>
      </c>
      <c r="N146" s="10">
        <f t="shared" si="49"/>
        <v>14361</v>
      </c>
      <c r="O146" s="10">
        <f t="shared" si="50"/>
        <v>14361</v>
      </c>
      <c r="P146" s="10">
        <f t="shared" si="51"/>
        <v>0</v>
      </c>
      <c r="Q146" s="10">
        <f t="shared" si="52"/>
        <v>14361</v>
      </c>
      <c r="R146" s="10" t="str">
        <f t="shared" si="53"/>
        <v>Yes</v>
      </c>
      <c r="S146" s="10" t="str">
        <f t="shared" si="54"/>
        <v>Council Operations Centre, Kingsbury Street Croydon Park</v>
      </c>
      <c r="T146" s="10">
        <f t="shared" si="55"/>
        <v>0</v>
      </c>
      <c r="U146" s="10">
        <f t="shared" si="56"/>
        <v>0</v>
      </c>
      <c r="V146" s="10">
        <f t="shared" si="57"/>
        <v>0</v>
      </c>
      <c r="W146" s="10">
        <f t="shared" si="58"/>
        <v>0</v>
      </c>
      <c r="X146" s="10">
        <f t="shared" si="12"/>
        <v>0</v>
      </c>
      <c r="Y146" s="10">
        <f t="shared" si="13"/>
        <v>0</v>
      </c>
      <c r="Z146" s="10">
        <f t="shared" si="14"/>
        <v>0</v>
      </c>
      <c r="AA146" s="10">
        <f t="shared" si="15"/>
        <v>0</v>
      </c>
      <c r="AB146" s="10">
        <f t="shared" si="16"/>
        <v>0</v>
      </c>
      <c r="AC146" s="10">
        <f t="shared" si="17"/>
        <v>0</v>
      </c>
      <c r="AD146" s="10">
        <f t="shared" si="18"/>
        <v>0</v>
      </c>
      <c r="AE146" s="10">
        <f t="shared" si="19"/>
        <v>0</v>
      </c>
      <c r="AF146" s="10">
        <f t="shared" si="20"/>
        <v>0</v>
      </c>
      <c r="AG146" s="10">
        <f t="shared" si="21"/>
        <v>0</v>
      </c>
      <c r="AH146" s="10">
        <f t="shared" si="22"/>
        <v>0</v>
      </c>
      <c r="AI146" s="10">
        <f t="shared" si="23"/>
        <v>0</v>
      </c>
      <c r="AJ146" s="10">
        <f t="shared" si="24"/>
        <v>0</v>
      </c>
      <c r="AK146" s="10">
        <f t="shared" si="25"/>
        <v>0</v>
      </c>
      <c r="AL146" s="10">
        <f t="shared" si="26"/>
        <v>0</v>
      </c>
      <c r="AM146" s="10">
        <f t="shared" si="27"/>
        <v>0</v>
      </c>
      <c r="AN146" s="46">
        <f t="shared" si="28"/>
        <v>0</v>
      </c>
      <c r="AO146" s="10">
        <f t="shared" si="29"/>
        <v>0</v>
      </c>
      <c r="AP146" s="10">
        <f t="shared" si="30"/>
        <v>0</v>
      </c>
      <c r="AQ146" s="10">
        <f t="shared" si="31"/>
        <v>0</v>
      </c>
      <c r="AR146" s="10">
        <f t="shared" si="32"/>
        <v>0</v>
      </c>
      <c r="AS146" s="10">
        <f t="shared" si="33"/>
        <v>0</v>
      </c>
      <c r="AT146" s="10">
        <f t="shared" si="34"/>
        <v>0</v>
      </c>
      <c r="AU146" s="10">
        <f t="shared" si="35"/>
        <v>0</v>
      </c>
      <c r="AV146" s="10">
        <f t="shared" si="36"/>
        <v>0</v>
      </c>
      <c r="AW146" s="10">
        <f t="shared" si="37"/>
        <v>0</v>
      </c>
      <c r="AX146" s="10">
        <f t="shared" si="38"/>
        <v>0</v>
      </c>
    </row>
    <row r="147" spans="1:50" x14ac:dyDescent="0.2">
      <c r="A147" s="8">
        <v>11450</v>
      </c>
      <c r="B147" s="89" t="str">
        <f t="shared" si="39"/>
        <v>Camden</v>
      </c>
      <c r="C147" s="9" t="str">
        <f t="shared" si="10"/>
        <v>MSWA</v>
      </c>
      <c r="D147" s="51" t="str">
        <f t="shared" si="11"/>
        <v>S</v>
      </c>
      <c r="E147" s="10">
        <f t="shared" si="40"/>
        <v>0</v>
      </c>
      <c r="F147" s="10">
        <f t="shared" si="41"/>
        <v>107806</v>
      </c>
      <c r="G147" s="10">
        <f t="shared" si="42"/>
        <v>41645</v>
      </c>
      <c r="H147" s="10">
        <f t="shared" si="43"/>
        <v>2.5886901188618081</v>
      </c>
      <c r="I147" s="10">
        <f t="shared" si="44"/>
        <v>201</v>
      </c>
      <c r="J147" s="10">
        <f t="shared" si="45"/>
        <v>536.29999999999995</v>
      </c>
      <c r="K147" s="10">
        <f t="shared" si="46"/>
        <v>373</v>
      </c>
      <c r="L147" s="10" t="str">
        <f t="shared" si="47"/>
        <v>Y</v>
      </c>
      <c r="M147" s="10">
        <f t="shared" si="48"/>
        <v>37853</v>
      </c>
      <c r="N147" s="10">
        <f t="shared" si="49"/>
        <v>35715</v>
      </c>
      <c r="O147" s="10">
        <f t="shared" si="50"/>
        <v>35715</v>
      </c>
      <c r="P147" s="10">
        <f t="shared" si="51"/>
        <v>0</v>
      </c>
      <c r="Q147" s="10">
        <f t="shared" si="52"/>
        <v>41645</v>
      </c>
      <c r="R147" s="10" t="str">
        <f t="shared" si="53"/>
        <v>Yes</v>
      </c>
      <c r="S147" s="10" t="str">
        <f t="shared" si="54"/>
        <v>Camden Council Administration Building - 70 Central Ave ORAN PARK</v>
      </c>
      <c r="T147" s="10" t="str">
        <f t="shared" si="55"/>
        <v>Camden Library - 40 John St CAMDEN 2570</v>
      </c>
      <c r="U147" s="10" t="str">
        <f t="shared" si="56"/>
        <v>Narellan Library - Cnr Queen &amp; Elyard Sts NARELLAN 2567</v>
      </c>
      <c r="V147" s="10" t="str">
        <f t="shared" si="57"/>
        <v xml:space="preserve">Macarthur Centre for Sustainable Living - 1 Mount Annan Dr MOUNT ANNAN 2567 </v>
      </c>
      <c r="W147" s="10" t="str">
        <f t="shared" si="58"/>
        <v>13 collection sites - sharps, syringe etc</v>
      </c>
      <c r="X147" s="10" t="str">
        <f t="shared" si="12"/>
        <v>Camden Council Administration Building - 70 Central Ave ORAN PARK</v>
      </c>
      <c r="Y147" s="10" t="str">
        <f t="shared" si="13"/>
        <v>Camden Council Administration Building - 70 Central Ave ORAN PARK</v>
      </c>
      <c r="Z147" s="10">
        <f t="shared" si="14"/>
        <v>0</v>
      </c>
      <c r="AA147" s="10">
        <f t="shared" si="15"/>
        <v>0</v>
      </c>
      <c r="AB147" s="10">
        <f t="shared" si="16"/>
        <v>0</v>
      </c>
      <c r="AC147" s="10">
        <f t="shared" si="17"/>
        <v>0</v>
      </c>
      <c r="AD147" s="10">
        <f t="shared" si="18"/>
        <v>0</v>
      </c>
      <c r="AE147" s="10">
        <f t="shared" si="19"/>
        <v>0</v>
      </c>
      <c r="AF147" s="10">
        <f t="shared" si="20"/>
        <v>0</v>
      </c>
      <c r="AG147" s="10">
        <f t="shared" si="21"/>
        <v>0</v>
      </c>
      <c r="AH147" s="10">
        <f t="shared" si="22"/>
        <v>0</v>
      </c>
      <c r="AI147" s="10">
        <f t="shared" si="23"/>
        <v>0</v>
      </c>
      <c r="AJ147" s="10">
        <f t="shared" si="24"/>
        <v>0</v>
      </c>
      <c r="AK147" s="10">
        <f t="shared" si="25"/>
        <v>0</v>
      </c>
      <c r="AL147" s="10">
        <f t="shared" si="26"/>
        <v>0</v>
      </c>
      <c r="AM147" s="10">
        <f t="shared" si="27"/>
        <v>0</v>
      </c>
      <c r="AN147" s="46">
        <f t="shared" si="28"/>
        <v>0</v>
      </c>
      <c r="AO147" s="10">
        <f t="shared" si="29"/>
        <v>0</v>
      </c>
      <c r="AP147" s="10">
        <f t="shared" si="30"/>
        <v>0</v>
      </c>
      <c r="AQ147" s="10">
        <f t="shared" si="31"/>
        <v>0</v>
      </c>
      <c r="AR147" s="10">
        <f t="shared" si="32"/>
        <v>0</v>
      </c>
      <c r="AS147" s="10">
        <f t="shared" si="33"/>
        <v>0</v>
      </c>
      <c r="AT147" s="10">
        <f t="shared" si="34"/>
        <v>0</v>
      </c>
      <c r="AU147" s="10">
        <f t="shared" si="35"/>
        <v>0</v>
      </c>
      <c r="AV147" s="10">
        <f t="shared" si="36"/>
        <v>0</v>
      </c>
      <c r="AW147" s="10">
        <f t="shared" si="37"/>
        <v>0</v>
      </c>
      <c r="AX147" s="10">
        <f t="shared" si="38"/>
        <v>0</v>
      </c>
    </row>
    <row r="148" spans="1:50" x14ac:dyDescent="0.2">
      <c r="A148" s="8">
        <v>11500</v>
      </c>
      <c r="B148" s="89" t="str">
        <f t="shared" si="39"/>
        <v>Campbelltown</v>
      </c>
      <c r="C148" s="9" t="str">
        <f t="shared" si="10"/>
        <v>MSWA</v>
      </c>
      <c r="D148" s="51" t="str">
        <f t="shared" si="11"/>
        <v>S</v>
      </c>
      <c r="E148" s="10">
        <f t="shared" si="40"/>
        <v>0</v>
      </c>
      <c r="F148" s="10">
        <f t="shared" si="41"/>
        <v>174078</v>
      </c>
      <c r="G148" s="10">
        <f t="shared" si="42"/>
        <v>63675</v>
      </c>
      <c r="H148" s="10">
        <f t="shared" si="43"/>
        <v>2.7338515901060072</v>
      </c>
      <c r="I148" s="10">
        <f t="shared" si="44"/>
        <v>311.89999999999998</v>
      </c>
      <c r="J148" s="10">
        <f t="shared" si="45"/>
        <v>558.1</v>
      </c>
      <c r="K148" s="10">
        <f t="shared" si="46"/>
        <v>357.52</v>
      </c>
      <c r="L148" s="10" t="str">
        <f t="shared" si="47"/>
        <v>Y</v>
      </c>
      <c r="M148" s="10">
        <f t="shared" si="48"/>
        <v>59508</v>
      </c>
      <c r="N148" s="10">
        <f t="shared" si="49"/>
        <v>59508</v>
      </c>
      <c r="O148" s="10">
        <f t="shared" si="50"/>
        <v>57935</v>
      </c>
      <c r="P148" s="10">
        <f t="shared" si="51"/>
        <v>0</v>
      </c>
      <c r="Q148" s="10">
        <f t="shared" si="52"/>
        <v>63675</v>
      </c>
      <c r="R148" s="10" t="str">
        <f t="shared" si="53"/>
        <v>Yes</v>
      </c>
      <c r="S148" s="10">
        <f t="shared" si="54"/>
        <v>0</v>
      </c>
      <c r="T148" s="10">
        <f t="shared" si="55"/>
        <v>0</v>
      </c>
      <c r="U148" s="10">
        <f t="shared" si="56"/>
        <v>0</v>
      </c>
      <c r="V148" s="10">
        <f t="shared" si="57"/>
        <v>0</v>
      </c>
      <c r="W148" s="10">
        <f t="shared" si="58"/>
        <v>0</v>
      </c>
      <c r="X148" s="10">
        <f t="shared" si="12"/>
        <v>0</v>
      </c>
      <c r="Y148" s="10">
        <f t="shared" si="13"/>
        <v>0</v>
      </c>
      <c r="Z148" s="10">
        <f t="shared" si="14"/>
        <v>0</v>
      </c>
      <c r="AA148" s="10">
        <f t="shared" si="15"/>
        <v>0</v>
      </c>
      <c r="AB148" s="10">
        <f t="shared" si="16"/>
        <v>0</v>
      </c>
      <c r="AC148" s="10">
        <f t="shared" si="17"/>
        <v>0</v>
      </c>
      <c r="AD148" s="10">
        <f t="shared" si="18"/>
        <v>0</v>
      </c>
      <c r="AE148" s="10">
        <f t="shared" si="19"/>
        <v>0</v>
      </c>
      <c r="AF148" s="10">
        <f t="shared" si="20"/>
        <v>0</v>
      </c>
      <c r="AG148" s="10">
        <f t="shared" si="21"/>
        <v>0</v>
      </c>
      <c r="AH148" s="10">
        <f t="shared" si="22"/>
        <v>0</v>
      </c>
      <c r="AI148" s="10">
        <f t="shared" si="23"/>
        <v>0</v>
      </c>
      <c r="AJ148" s="10">
        <f t="shared" si="24"/>
        <v>0</v>
      </c>
      <c r="AK148" s="10">
        <f t="shared" si="25"/>
        <v>0</v>
      </c>
      <c r="AL148" s="10">
        <f t="shared" si="26"/>
        <v>0</v>
      </c>
      <c r="AM148" s="10">
        <f t="shared" si="27"/>
        <v>0</v>
      </c>
      <c r="AN148" s="46">
        <f t="shared" si="28"/>
        <v>0</v>
      </c>
      <c r="AO148" s="10">
        <f t="shared" si="29"/>
        <v>0</v>
      </c>
      <c r="AP148" s="10">
        <f t="shared" si="30"/>
        <v>0</v>
      </c>
      <c r="AQ148" s="10">
        <f t="shared" si="31"/>
        <v>0</v>
      </c>
      <c r="AR148" s="10">
        <f t="shared" si="32"/>
        <v>0</v>
      </c>
      <c r="AS148" s="10">
        <f t="shared" si="33"/>
        <v>0</v>
      </c>
      <c r="AT148" s="10">
        <f t="shared" si="34"/>
        <v>0</v>
      </c>
      <c r="AU148" s="10">
        <f t="shared" si="35"/>
        <v>0</v>
      </c>
      <c r="AV148" s="10">
        <f t="shared" si="36"/>
        <v>0</v>
      </c>
      <c r="AW148" s="10">
        <f t="shared" si="37"/>
        <v>0</v>
      </c>
      <c r="AX148" s="10">
        <f t="shared" si="38"/>
        <v>0</v>
      </c>
    </row>
    <row r="149" spans="1:50" x14ac:dyDescent="0.2">
      <c r="A149" s="8">
        <v>11520</v>
      </c>
      <c r="B149" s="89" t="str">
        <f t="shared" si="39"/>
        <v>Canada Bay</v>
      </c>
      <c r="C149" s="9" t="str">
        <f t="shared" si="10"/>
        <v>SSROC</v>
      </c>
      <c r="D149" s="51" t="str">
        <f t="shared" si="11"/>
        <v>S</v>
      </c>
      <c r="E149" s="10">
        <f t="shared" si="40"/>
        <v>0</v>
      </c>
      <c r="F149" s="10">
        <f t="shared" si="41"/>
        <v>96550</v>
      </c>
      <c r="G149" s="10">
        <f t="shared" si="42"/>
        <v>38344</v>
      </c>
      <c r="H149" s="10">
        <f t="shared" si="43"/>
        <v>2.5179949926976843</v>
      </c>
      <c r="I149" s="10">
        <f t="shared" si="44"/>
        <v>19.899999999999999</v>
      </c>
      <c r="J149" s="10">
        <f t="shared" si="45"/>
        <v>4846.1000000000004</v>
      </c>
      <c r="K149" s="10">
        <f t="shared" si="46"/>
        <v>425</v>
      </c>
      <c r="L149" s="10" t="str">
        <f t="shared" si="47"/>
        <v>Y</v>
      </c>
      <c r="M149" s="10">
        <f t="shared" si="48"/>
        <v>37257</v>
      </c>
      <c r="N149" s="10">
        <f t="shared" si="49"/>
        <v>38344</v>
      </c>
      <c r="O149" s="10">
        <f t="shared" si="50"/>
        <v>38344</v>
      </c>
      <c r="P149" s="10">
        <f t="shared" si="51"/>
        <v>0</v>
      </c>
      <c r="Q149" s="10">
        <f t="shared" si="52"/>
        <v>38344</v>
      </c>
      <c r="R149" s="10" t="str">
        <f t="shared" si="53"/>
        <v>Yes</v>
      </c>
      <c r="S149" s="10" t="str">
        <f t="shared" si="54"/>
        <v>Community Recycling Centre Five Dock</v>
      </c>
      <c r="T149" s="10">
        <f t="shared" si="55"/>
        <v>0</v>
      </c>
      <c r="U149" s="10">
        <f t="shared" si="56"/>
        <v>0</v>
      </c>
      <c r="V149" s="10">
        <f t="shared" si="57"/>
        <v>0</v>
      </c>
      <c r="W149" s="10">
        <f t="shared" si="58"/>
        <v>0</v>
      </c>
      <c r="X149" s="10">
        <f t="shared" si="12"/>
        <v>0</v>
      </c>
      <c r="Y149" s="10">
        <f t="shared" si="13"/>
        <v>0</v>
      </c>
      <c r="Z149" s="10">
        <f t="shared" si="14"/>
        <v>0</v>
      </c>
      <c r="AA149" s="10">
        <f t="shared" si="15"/>
        <v>0</v>
      </c>
      <c r="AB149" s="10">
        <f t="shared" si="16"/>
        <v>0</v>
      </c>
      <c r="AC149" s="10">
        <f t="shared" si="17"/>
        <v>0</v>
      </c>
      <c r="AD149" s="10">
        <f t="shared" si="18"/>
        <v>0</v>
      </c>
      <c r="AE149" s="10">
        <f t="shared" si="19"/>
        <v>0</v>
      </c>
      <c r="AF149" s="10">
        <f t="shared" si="20"/>
        <v>0</v>
      </c>
      <c r="AG149" s="10">
        <f t="shared" si="21"/>
        <v>0</v>
      </c>
      <c r="AH149" s="10">
        <f t="shared" si="22"/>
        <v>0</v>
      </c>
      <c r="AI149" s="10">
        <f t="shared" si="23"/>
        <v>0</v>
      </c>
      <c r="AJ149" s="10">
        <f t="shared" si="24"/>
        <v>0</v>
      </c>
      <c r="AK149" s="10">
        <f t="shared" si="25"/>
        <v>0</v>
      </c>
      <c r="AL149" s="10">
        <f t="shared" si="26"/>
        <v>0</v>
      </c>
      <c r="AM149" s="10">
        <f t="shared" si="27"/>
        <v>0</v>
      </c>
      <c r="AN149" s="46">
        <f t="shared" si="28"/>
        <v>0</v>
      </c>
      <c r="AO149" s="10">
        <f t="shared" si="29"/>
        <v>0</v>
      </c>
      <c r="AP149" s="10">
        <f t="shared" si="30"/>
        <v>0</v>
      </c>
      <c r="AQ149" s="10">
        <f t="shared" si="31"/>
        <v>0</v>
      </c>
      <c r="AR149" s="10">
        <f t="shared" si="32"/>
        <v>0</v>
      </c>
      <c r="AS149" s="10">
        <f t="shared" si="33"/>
        <v>0</v>
      </c>
      <c r="AT149" s="10">
        <f t="shared" si="34"/>
        <v>0</v>
      </c>
      <c r="AU149" s="10">
        <f t="shared" si="35"/>
        <v>0</v>
      </c>
      <c r="AV149" s="10">
        <f t="shared" si="36"/>
        <v>0</v>
      </c>
      <c r="AW149" s="10">
        <f t="shared" si="37"/>
        <v>0</v>
      </c>
      <c r="AX149" s="10">
        <f t="shared" si="38"/>
        <v>0</v>
      </c>
    </row>
    <row r="150" spans="1:50" x14ac:dyDescent="0.2">
      <c r="A150" s="8">
        <v>11570</v>
      </c>
      <c r="B150" s="89" t="str">
        <f t="shared" si="39"/>
        <v>Canterbury-Bankstown</v>
      </c>
      <c r="C150" s="9" t="str">
        <f t="shared" si="10"/>
        <v>SSROC</v>
      </c>
      <c r="D150" s="51" t="str">
        <f t="shared" si="11"/>
        <v>S</v>
      </c>
      <c r="E150" s="10">
        <f t="shared" si="40"/>
        <v>0</v>
      </c>
      <c r="F150" s="10">
        <f t="shared" si="41"/>
        <v>380406</v>
      </c>
      <c r="G150" s="10">
        <f t="shared" si="42"/>
        <v>137601</v>
      </c>
      <c r="H150" s="10">
        <f t="shared" si="43"/>
        <v>2.7645583971046723</v>
      </c>
      <c r="I150" s="10">
        <f t="shared" si="44"/>
        <v>110.2</v>
      </c>
      <c r="J150" s="10">
        <f t="shared" si="45"/>
        <v>3450.8</v>
      </c>
      <c r="K150" s="10">
        <f t="shared" si="46"/>
        <v>565</v>
      </c>
      <c r="L150" s="10" t="str">
        <f t="shared" si="47"/>
        <v>Y</v>
      </c>
      <c r="M150" s="10">
        <f t="shared" si="48"/>
        <v>129115</v>
      </c>
      <c r="N150" s="10">
        <f t="shared" si="49"/>
        <v>129115</v>
      </c>
      <c r="O150" s="10">
        <f t="shared" si="50"/>
        <v>93102</v>
      </c>
      <c r="P150" s="10">
        <f t="shared" si="51"/>
        <v>0</v>
      </c>
      <c r="Q150" s="10">
        <f t="shared" si="52"/>
        <v>137601</v>
      </c>
      <c r="R150" s="10" t="str">
        <f t="shared" si="53"/>
        <v>Yes</v>
      </c>
      <c r="S150" s="10">
        <f t="shared" si="54"/>
        <v>0</v>
      </c>
      <c r="T150" s="10">
        <f t="shared" si="55"/>
        <v>0</v>
      </c>
      <c r="U150" s="10">
        <f t="shared" si="56"/>
        <v>0</v>
      </c>
      <c r="V150" s="10">
        <f t="shared" si="57"/>
        <v>0</v>
      </c>
      <c r="W150" s="10">
        <f t="shared" si="58"/>
        <v>0</v>
      </c>
      <c r="X150" s="10">
        <f t="shared" si="12"/>
        <v>0</v>
      </c>
      <c r="Y150" s="10">
        <f t="shared" si="13"/>
        <v>0</v>
      </c>
      <c r="Z150" s="10">
        <f t="shared" si="14"/>
        <v>0</v>
      </c>
      <c r="AA150" s="10">
        <f t="shared" si="15"/>
        <v>0</v>
      </c>
      <c r="AB150" s="10">
        <f t="shared" si="16"/>
        <v>0</v>
      </c>
      <c r="AC150" s="10">
        <f t="shared" si="17"/>
        <v>0</v>
      </c>
      <c r="AD150" s="10">
        <f t="shared" si="18"/>
        <v>0</v>
      </c>
      <c r="AE150" s="10">
        <f t="shared" si="19"/>
        <v>0</v>
      </c>
      <c r="AF150" s="10">
        <f t="shared" si="20"/>
        <v>0</v>
      </c>
      <c r="AG150" s="10">
        <f t="shared" si="21"/>
        <v>0</v>
      </c>
      <c r="AH150" s="10">
        <f t="shared" si="22"/>
        <v>0</v>
      </c>
      <c r="AI150" s="10">
        <f t="shared" si="23"/>
        <v>0</v>
      </c>
      <c r="AJ150" s="10">
        <f t="shared" si="24"/>
        <v>0</v>
      </c>
      <c r="AK150" s="10">
        <f t="shared" si="25"/>
        <v>0</v>
      </c>
      <c r="AL150" s="10">
        <f t="shared" si="26"/>
        <v>0</v>
      </c>
      <c r="AM150" s="10">
        <f t="shared" si="27"/>
        <v>0</v>
      </c>
      <c r="AN150" s="46">
        <f t="shared" si="28"/>
        <v>0</v>
      </c>
      <c r="AO150" s="10">
        <f t="shared" si="29"/>
        <v>0</v>
      </c>
      <c r="AP150" s="10">
        <f t="shared" si="30"/>
        <v>0</v>
      </c>
      <c r="AQ150" s="10">
        <f t="shared" si="31"/>
        <v>0</v>
      </c>
      <c r="AR150" s="10">
        <f t="shared" si="32"/>
        <v>0</v>
      </c>
      <c r="AS150" s="10">
        <f t="shared" si="33"/>
        <v>0</v>
      </c>
      <c r="AT150" s="10">
        <f t="shared" si="34"/>
        <v>0</v>
      </c>
      <c r="AU150" s="10">
        <f t="shared" si="35"/>
        <v>0</v>
      </c>
      <c r="AV150" s="10">
        <f t="shared" si="36"/>
        <v>0</v>
      </c>
      <c r="AW150" s="10">
        <f t="shared" si="37"/>
        <v>0</v>
      </c>
      <c r="AX150" s="10">
        <f t="shared" si="38"/>
        <v>0</v>
      </c>
    </row>
    <row r="151" spans="1:50" x14ac:dyDescent="0.2">
      <c r="A151" s="8">
        <v>12380</v>
      </c>
      <c r="B151" s="89" t="str">
        <f t="shared" si="39"/>
        <v>Cumberland</v>
      </c>
      <c r="C151" s="9" t="str">
        <f t="shared" si="10"/>
        <v>WSROC</v>
      </c>
      <c r="D151" s="51" t="str">
        <f t="shared" si="11"/>
        <v>S</v>
      </c>
      <c r="E151" s="10">
        <f t="shared" si="40"/>
        <v>0</v>
      </c>
      <c r="F151" s="10">
        <f t="shared" si="41"/>
        <v>242674</v>
      </c>
      <c r="G151" s="10">
        <f t="shared" si="42"/>
        <v>76450</v>
      </c>
      <c r="H151" s="10">
        <f t="shared" si="43"/>
        <v>3.1742838456507521</v>
      </c>
      <c r="I151" s="10">
        <f t="shared" si="44"/>
        <v>71.599999999999994</v>
      </c>
      <c r="J151" s="10">
        <f t="shared" si="45"/>
        <v>3391.6</v>
      </c>
      <c r="K151" s="10">
        <f t="shared" si="46"/>
        <v>500</v>
      </c>
      <c r="L151" s="10" t="str">
        <f t="shared" si="47"/>
        <v>Y</v>
      </c>
      <c r="M151" s="10">
        <f t="shared" si="48"/>
        <v>75365</v>
      </c>
      <c r="N151" s="10">
        <f t="shared" si="49"/>
        <v>75365</v>
      </c>
      <c r="O151" s="10">
        <f t="shared" si="50"/>
        <v>33219</v>
      </c>
      <c r="P151" s="10">
        <f t="shared" si="51"/>
        <v>0</v>
      </c>
      <c r="Q151" s="10">
        <f t="shared" si="52"/>
        <v>76450</v>
      </c>
      <c r="R151" s="10" t="str">
        <f t="shared" si="53"/>
        <v>Yes</v>
      </c>
      <c r="S151" s="10">
        <f t="shared" si="54"/>
        <v>0</v>
      </c>
      <c r="T151" s="10">
        <f t="shared" si="55"/>
        <v>0</v>
      </c>
      <c r="U151" s="10">
        <f t="shared" si="56"/>
        <v>0</v>
      </c>
      <c r="V151" s="10">
        <f t="shared" si="57"/>
        <v>0</v>
      </c>
      <c r="W151" s="10">
        <f t="shared" si="58"/>
        <v>0</v>
      </c>
      <c r="X151" s="10">
        <f t="shared" si="12"/>
        <v>0</v>
      </c>
      <c r="Y151" s="10">
        <f t="shared" si="13"/>
        <v>0</v>
      </c>
      <c r="Z151" s="10">
        <f t="shared" si="14"/>
        <v>0</v>
      </c>
      <c r="AA151" s="10">
        <f t="shared" si="15"/>
        <v>0</v>
      </c>
      <c r="AB151" s="10">
        <f t="shared" si="16"/>
        <v>0</v>
      </c>
      <c r="AC151" s="10">
        <f t="shared" si="17"/>
        <v>0</v>
      </c>
      <c r="AD151" s="10">
        <f t="shared" si="18"/>
        <v>0</v>
      </c>
      <c r="AE151" s="10">
        <f t="shared" si="19"/>
        <v>0</v>
      </c>
      <c r="AF151" s="10">
        <f t="shared" si="20"/>
        <v>0</v>
      </c>
      <c r="AG151" s="10">
        <f t="shared" si="21"/>
        <v>0</v>
      </c>
      <c r="AH151" s="10">
        <f t="shared" si="22"/>
        <v>0</v>
      </c>
      <c r="AI151" s="10">
        <f t="shared" si="23"/>
        <v>0</v>
      </c>
      <c r="AJ151" s="10">
        <f t="shared" si="24"/>
        <v>0</v>
      </c>
      <c r="AK151" s="10">
        <f t="shared" si="25"/>
        <v>0</v>
      </c>
      <c r="AL151" s="10">
        <f t="shared" si="26"/>
        <v>0</v>
      </c>
      <c r="AM151" s="10">
        <f t="shared" si="27"/>
        <v>0</v>
      </c>
      <c r="AN151" s="46">
        <f t="shared" si="28"/>
        <v>0</v>
      </c>
      <c r="AO151" s="10">
        <f t="shared" si="29"/>
        <v>0</v>
      </c>
      <c r="AP151" s="10">
        <f t="shared" si="30"/>
        <v>0</v>
      </c>
      <c r="AQ151" s="10">
        <f t="shared" si="31"/>
        <v>0</v>
      </c>
      <c r="AR151" s="10">
        <f t="shared" si="32"/>
        <v>0</v>
      </c>
      <c r="AS151" s="10">
        <f t="shared" si="33"/>
        <v>0</v>
      </c>
      <c r="AT151" s="10">
        <f t="shared" si="34"/>
        <v>0</v>
      </c>
      <c r="AU151" s="10">
        <f t="shared" si="35"/>
        <v>0</v>
      </c>
      <c r="AV151" s="10">
        <f t="shared" si="36"/>
        <v>0</v>
      </c>
      <c r="AW151" s="10">
        <f t="shared" si="37"/>
        <v>0</v>
      </c>
      <c r="AX151" s="10">
        <f t="shared" si="38"/>
        <v>0</v>
      </c>
    </row>
    <row r="152" spans="1:50" x14ac:dyDescent="0.2">
      <c r="A152" s="8">
        <v>12850</v>
      </c>
      <c r="B152" s="89" t="str">
        <f t="shared" si="39"/>
        <v>Fairfield</v>
      </c>
      <c r="C152" s="9" t="str">
        <f t="shared" si="10"/>
        <v>WSROC</v>
      </c>
      <c r="D152" s="51" t="str">
        <f t="shared" si="11"/>
        <v>S</v>
      </c>
      <c r="E152" s="10">
        <f t="shared" si="40"/>
        <v>0</v>
      </c>
      <c r="F152" s="10">
        <f t="shared" si="41"/>
        <v>210825</v>
      </c>
      <c r="G152" s="10">
        <f t="shared" si="42"/>
        <v>61956</v>
      </c>
      <c r="H152" s="10">
        <f t="shared" si="43"/>
        <v>3.4028181289947703</v>
      </c>
      <c r="I152" s="10">
        <f t="shared" si="44"/>
        <v>101.5</v>
      </c>
      <c r="J152" s="10">
        <f t="shared" si="45"/>
        <v>2077</v>
      </c>
      <c r="K152" s="10">
        <f t="shared" si="46"/>
        <v>495</v>
      </c>
      <c r="L152" s="10" t="str">
        <f t="shared" si="47"/>
        <v>Y</v>
      </c>
      <c r="M152" s="10">
        <f t="shared" si="48"/>
        <v>57762</v>
      </c>
      <c r="N152" s="10">
        <f t="shared" si="49"/>
        <v>58304</v>
      </c>
      <c r="O152" s="10">
        <f t="shared" si="50"/>
        <v>0</v>
      </c>
      <c r="P152" s="10">
        <f t="shared" si="51"/>
        <v>0</v>
      </c>
      <c r="Q152" s="10">
        <f t="shared" si="52"/>
        <v>61956</v>
      </c>
      <c r="R152" s="10" t="str">
        <f t="shared" si="53"/>
        <v>Yes</v>
      </c>
      <c r="S152" s="10" t="str">
        <f t="shared" si="54"/>
        <v>Recycling Drop Off Centre</v>
      </c>
      <c r="T152" s="10">
        <f t="shared" si="55"/>
        <v>0</v>
      </c>
      <c r="U152" s="10">
        <f t="shared" si="56"/>
        <v>0</v>
      </c>
      <c r="V152" s="10">
        <f t="shared" si="57"/>
        <v>0</v>
      </c>
      <c r="W152" s="10">
        <f t="shared" si="58"/>
        <v>0</v>
      </c>
      <c r="X152" s="10">
        <f t="shared" si="12"/>
        <v>0</v>
      </c>
      <c r="Y152" s="10">
        <f t="shared" si="13"/>
        <v>0</v>
      </c>
      <c r="Z152" s="10">
        <f t="shared" si="14"/>
        <v>0</v>
      </c>
      <c r="AA152" s="10">
        <f t="shared" si="15"/>
        <v>0</v>
      </c>
      <c r="AB152" s="10">
        <f t="shared" si="16"/>
        <v>0</v>
      </c>
      <c r="AC152" s="10">
        <f t="shared" si="17"/>
        <v>0</v>
      </c>
      <c r="AD152" s="10">
        <f t="shared" si="18"/>
        <v>0</v>
      </c>
      <c r="AE152" s="10">
        <f t="shared" si="19"/>
        <v>0</v>
      </c>
      <c r="AF152" s="10">
        <f t="shared" si="20"/>
        <v>0</v>
      </c>
      <c r="AG152" s="10">
        <f t="shared" si="21"/>
        <v>0</v>
      </c>
      <c r="AH152" s="10">
        <f t="shared" si="22"/>
        <v>0</v>
      </c>
      <c r="AI152" s="10">
        <f t="shared" si="23"/>
        <v>0</v>
      </c>
      <c r="AJ152" s="10">
        <f t="shared" si="24"/>
        <v>0</v>
      </c>
      <c r="AK152" s="10">
        <f t="shared" si="25"/>
        <v>0</v>
      </c>
      <c r="AL152" s="10">
        <f t="shared" si="26"/>
        <v>0</v>
      </c>
      <c r="AM152" s="10">
        <f t="shared" si="27"/>
        <v>0</v>
      </c>
      <c r="AN152" s="46">
        <f t="shared" si="28"/>
        <v>0</v>
      </c>
      <c r="AO152" s="10">
        <f t="shared" si="29"/>
        <v>0</v>
      </c>
      <c r="AP152" s="10">
        <f t="shared" si="30"/>
        <v>0</v>
      </c>
      <c r="AQ152" s="10">
        <f t="shared" si="31"/>
        <v>0</v>
      </c>
      <c r="AR152" s="10">
        <f t="shared" si="32"/>
        <v>0</v>
      </c>
      <c r="AS152" s="10">
        <f t="shared" si="33"/>
        <v>0</v>
      </c>
      <c r="AT152" s="10">
        <f t="shared" si="34"/>
        <v>0</v>
      </c>
      <c r="AU152" s="10">
        <f t="shared" si="35"/>
        <v>0</v>
      </c>
      <c r="AV152" s="10">
        <f t="shared" si="36"/>
        <v>0</v>
      </c>
      <c r="AW152" s="10">
        <f t="shared" si="37"/>
        <v>0</v>
      </c>
      <c r="AX152" s="10">
        <f t="shared" si="38"/>
        <v>0</v>
      </c>
    </row>
    <row r="153" spans="1:50" x14ac:dyDescent="0.2">
      <c r="A153" s="8">
        <v>12930</v>
      </c>
      <c r="B153" s="89" t="str">
        <f t="shared" si="39"/>
        <v>Georges River</v>
      </c>
      <c r="C153" s="9" t="str">
        <f t="shared" si="10"/>
        <v>SSROC</v>
      </c>
      <c r="D153" s="51" t="str">
        <f t="shared" si="11"/>
        <v>S</v>
      </c>
      <c r="E153" s="10">
        <f t="shared" si="40"/>
        <v>0</v>
      </c>
      <c r="F153" s="10">
        <f t="shared" si="41"/>
        <v>160272</v>
      </c>
      <c r="G153" s="10">
        <f t="shared" si="42"/>
        <v>61271</v>
      </c>
      <c r="H153" s="10">
        <f t="shared" si="43"/>
        <v>2.6157888723866103</v>
      </c>
      <c r="I153" s="10">
        <f t="shared" si="44"/>
        <v>38.299999999999997</v>
      </c>
      <c r="J153" s="10">
        <f t="shared" si="45"/>
        <v>4179.6000000000004</v>
      </c>
      <c r="K153" s="10">
        <f t="shared" si="46"/>
        <v>464.88</v>
      </c>
      <c r="L153" s="10" t="str">
        <f t="shared" si="47"/>
        <v>Y</v>
      </c>
      <c r="M153" s="10">
        <f t="shared" si="48"/>
        <v>57705</v>
      </c>
      <c r="N153" s="10">
        <f t="shared" si="49"/>
        <v>61271</v>
      </c>
      <c r="O153" s="10">
        <f t="shared" si="50"/>
        <v>57705</v>
      </c>
      <c r="P153" s="10">
        <f t="shared" si="51"/>
        <v>0</v>
      </c>
      <c r="Q153" s="10">
        <f t="shared" si="52"/>
        <v>61271</v>
      </c>
      <c r="R153" s="10" t="str">
        <f t="shared" si="53"/>
        <v>Yes</v>
      </c>
      <c r="S153" s="10" t="str">
        <f t="shared" si="54"/>
        <v>Household chemical cleanout</v>
      </c>
      <c r="T153" s="10" t="str">
        <f t="shared" si="55"/>
        <v>Techwaste drop off</v>
      </c>
      <c r="U153" s="10" t="str">
        <f t="shared" si="56"/>
        <v>Small scale recycling stations</v>
      </c>
      <c r="V153" s="10">
        <f t="shared" si="57"/>
        <v>0</v>
      </c>
      <c r="W153" s="10">
        <f t="shared" si="58"/>
        <v>0</v>
      </c>
      <c r="X153" s="10">
        <f t="shared" si="12"/>
        <v>0</v>
      </c>
      <c r="Y153" s="10">
        <f t="shared" si="13"/>
        <v>0</v>
      </c>
      <c r="Z153" s="10">
        <f t="shared" si="14"/>
        <v>0</v>
      </c>
      <c r="AA153" s="10">
        <f t="shared" si="15"/>
        <v>0</v>
      </c>
      <c r="AB153" s="10">
        <f t="shared" si="16"/>
        <v>0</v>
      </c>
      <c r="AC153" s="10">
        <f t="shared" si="17"/>
        <v>0</v>
      </c>
      <c r="AD153" s="10">
        <f t="shared" si="18"/>
        <v>0</v>
      </c>
      <c r="AE153" s="10">
        <f t="shared" si="19"/>
        <v>0</v>
      </c>
      <c r="AF153" s="10">
        <f t="shared" si="20"/>
        <v>0</v>
      </c>
      <c r="AG153" s="10">
        <f t="shared" si="21"/>
        <v>0</v>
      </c>
      <c r="AH153" s="10">
        <f t="shared" si="22"/>
        <v>0</v>
      </c>
      <c r="AI153" s="10">
        <f t="shared" si="23"/>
        <v>0</v>
      </c>
      <c r="AJ153" s="10">
        <f t="shared" si="24"/>
        <v>0</v>
      </c>
      <c r="AK153" s="10">
        <f t="shared" si="25"/>
        <v>0</v>
      </c>
      <c r="AL153" s="10">
        <f t="shared" si="26"/>
        <v>0</v>
      </c>
      <c r="AM153" s="10">
        <f t="shared" si="27"/>
        <v>0</v>
      </c>
      <c r="AN153" s="46">
        <f t="shared" si="28"/>
        <v>0</v>
      </c>
      <c r="AO153" s="10">
        <f t="shared" si="29"/>
        <v>0</v>
      </c>
      <c r="AP153" s="10">
        <f t="shared" si="30"/>
        <v>0</v>
      </c>
      <c r="AQ153" s="10">
        <f t="shared" si="31"/>
        <v>0</v>
      </c>
      <c r="AR153" s="10">
        <f t="shared" si="32"/>
        <v>0</v>
      </c>
      <c r="AS153" s="10">
        <f t="shared" si="33"/>
        <v>0</v>
      </c>
      <c r="AT153" s="10">
        <f t="shared" si="34"/>
        <v>0</v>
      </c>
      <c r="AU153" s="10">
        <f t="shared" si="35"/>
        <v>0</v>
      </c>
      <c r="AV153" s="10">
        <f t="shared" si="36"/>
        <v>0</v>
      </c>
      <c r="AW153" s="10">
        <f t="shared" si="37"/>
        <v>0</v>
      </c>
      <c r="AX153" s="10">
        <f t="shared" si="38"/>
        <v>0</v>
      </c>
    </row>
    <row r="154" spans="1:50" x14ac:dyDescent="0.2">
      <c r="A154" s="8">
        <v>14000</v>
      </c>
      <c r="B154" s="89" t="str">
        <f t="shared" si="39"/>
        <v>Hornsby</v>
      </c>
      <c r="C154" s="9" t="str">
        <f t="shared" si="10"/>
        <v>NSROC</v>
      </c>
      <c r="D154" s="51" t="str">
        <f t="shared" si="11"/>
        <v>S</v>
      </c>
      <c r="E154" s="10">
        <f t="shared" si="40"/>
        <v>0</v>
      </c>
      <c r="F154" s="10">
        <f t="shared" si="41"/>
        <v>152419</v>
      </c>
      <c r="G154" s="10">
        <f t="shared" si="42"/>
        <v>52488</v>
      </c>
      <c r="H154" s="10">
        <f t="shared" si="43"/>
        <v>2.9038827922572779</v>
      </c>
      <c r="I154" s="10">
        <f t="shared" si="44"/>
        <v>455</v>
      </c>
      <c r="J154" s="10">
        <f t="shared" si="45"/>
        <v>335</v>
      </c>
      <c r="K154" s="10">
        <f t="shared" si="46"/>
        <v>536</v>
      </c>
      <c r="L154" s="10" t="str">
        <f t="shared" si="47"/>
        <v>Y</v>
      </c>
      <c r="M154" s="10">
        <f t="shared" si="48"/>
        <v>52488</v>
      </c>
      <c r="N154" s="10">
        <f t="shared" si="49"/>
        <v>52488</v>
      </c>
      <c r="O154" s="10">
        <f t="shared" si="50"/>
        <v>52488</v>
      </c>
      <c r="P154" s="10">
        <f t="shared" si="51"/>
        <v>0</v>
      </c>
      <c r="Q154" s="10">
        <f t="shared" si="52"/>
        <v>52488</v>
      </c>
      <c r="R154" s="10" t="str">
        <f t="shared" si="53"/>
        <v>Yes</v>
      </c>
      <c r="S154" s="10" t="str">
        <f t="shared" si="54"/>
        <v>CRC - 29 Sefton Road Thornleigh</v>
      </c>
      <c r="T154" s="10" t="str">
        <f t="shared" si="55"/>
        <v>Council depot - 5 Beaumont Road, Mt Kuring-gai</v>
      </c>
      <c r="U154" s="10">
        <f t="shared" si="56"/>
        <v>0</v>
      </c>
      <c r="V154" s="10">
        <f t="shared" si="57"/>
        <v>0</v>
      </c>
      <c r="W154" s="10">
        <f t="shared" si="58"/>
        <v>0</v>
      </c>
      <c r="X154" s="10">
        <f t="shared" si="12"/>
        <v>0</v>
      </c>
      <c r="Y154" s="10">
        <f t="shared" si="13"/>
        <v>0</v>
      </c>
      <c r="Z154" s="10">
        <f t="shared" si="14"/>
        <v>0</v>
      </c>
      <c r="AA154" s="10">
        <f t="shared" si="15"/>
        <v>0</v>
      </c>
      <c r="AB154" s="10">
        <f t="shared" si="16"/>
        <v>0</v>
      </c>
      <c r="AC154" s="10">
        <f t="shared" si="17"/>
        <v>0</v>
      </c>
      <c r="AD154" s="10">
        <f t="shared" si="18"/>
        <v>0</v>
      </c>
      <c r="AE154" s="10">
        <f t="shared" si="19"/>
        <v>0</v>
      </c>
      <c r="AF154" s="10">
        <f t="shared" si="20"/>
        <v>0</v>
      </c>
      <c r="AG154" s="10">
        <f t="shared" si="21"/>
        <v>0</v>
      </c>
      <c r="AH154" s="10">
        <f t="shared" si="22"/>
        <v>0</v>
      </c>
      <c r="AI154" s="10">
        <f t="shared" si="23"/>
        <v>0</v>
      </c>
      <c r="AJ154" s="10">
        <f t="shared" si="24"/>
        <v>0</v>
      </c>
      <c r="AK154" s="10">
        <f t="shared" si="25"/>
        <v>0</v>
      </c>
      <c r="AL154" s="10">
        <f t="shared" si="26"/>
        <v>0</v>
      </c>
      <c r="AM154" s="10">
        <f t="shared" si="27"/>
        <v>0</v>
      </c>
      <c r="AN154" s="46">
        <f t="shared" si="28"/>
        <v>0</v>
      </c>
      <c r="AO154" s="10">
        <f t="shared" si="29"/>
        <v>0</v>
      </c>
      <c r="AP154" s="10">
        <f t="shared" si="30"/>
        <v>0</v>
      </c>
      <c r="AQ154" s="10">
        <f t="shared" si="31"/>
        <v>0</v>
      </c>
      <c r="AR154" s="10">
        <f t="shared" si="32"/>
        <v>0</v>
      </c>
      <c r="AS154" s="10">
        <f t="shared" si="33"/>
        <v>0</v>
      </c>
      <c r="AT154" s="10">
        <f t="shared" si="34"/>
        <v>0</v>
      </c>
      <c r="AU154" s="10">
        <f t="shared" si="35"/>
        <v>0</v>
      </c>
      <c r="AV154" s="10">
        <f t="shared" si="36"/>
        <v>0</v>
      </c>
      <c r="AW154" s="10">
        <f t="shared" si="37"/>
        <v>0</v>
      </c>
      <c r="AX154" s="10">
        <f t="shared" si="38"/>
        <v>0</v>
      </c>
    </row>
    <row r="155" spans="1:50" x14ac:dyDescent="0.2">
      <c r="A155" s="8">
        <v>14100</v>
      </c>
      <c r="B155" s="89" t="str">
        <f t="shared" si="39"/>
        <v>Hunters Hill</v>
      </c>
      <c r="C155" s="9" t="str">
        <f t="shared" si="10"/>
        <v>NSROC</v>
      </c>
      <c r="D155" s="51" t="str">
        <f t="shared" si="11"/>
        <v>S</v>
      </c>
      <c r="E155" s="10">
        <f t="shared" si="40"/>
        <v>0</v>
      </c>
      <c r="F155" s="10">
        <f t="shared" si="41"/>
        <v>14962</v>
      </c>
      <c r="G155" s="10">
        <f t="shared" si="42"/>
        <v>5237</v>
      </c>
      <c r="H155" s="10">
        <f t="shared" si="43"/>
        <v>2.8569791865571892</v>
      </c>
      <c r="I155" s="10">
        <f t="shared" si="44"/>
        <v>5.7</v>
      </c>
      <c r="J155" s="10">
        <f t="shared" si="45"/>
        <v>2617.1999999999998</v>
      </c>
      <c r="K155" s="10">
        <f t="shared" si="46"/>
        <v>555</v>
      </c>
      <c r="L155" s="10" t="str">
        <f t="shared" si="47"/>
        <v>Y</v>
      </c>
      <c r="M155" s="10">
        <f t="shared" si="48"/>
        <v>4926</v>
      </c>
      <c r="N155" s="10">
        <f t="shared" si="49"/>
        <v>4844</v>
      </c>
      <c r="O155" s="10">
        <f t="shared" si="50"/>
        <v>4693</v>
      </c>
      <c r="P155" s="10">
        <f t="shared" si="51"/>
        <v>0</v>
      </c>
      <c r="Q155" s="10">
        <f t="shared" si="52"/>
        <v>5237</v>
      </c>
      <c r="R155" s="10" t="str">
        <f t="shared" si="53"/>
        <v>No</v>
      </c>
      <c r="S155" s="10">
        <f t="shared" si="54"/>
        <v>0</v>
      </c>
      <c r="T155" s="10">
        <f t="shared" si="55"/>
        <v>0</v>
      </c>
      <c r="U155" s="10">
        <f t="shared" si="56"/>
        <v>0</v>
      </c>
      <c r="V155" s="10">
        <f t="shared" si="57"/>
        <v>0</v>
      </c>
      <c r="W155" s="10">
        <f t="shared" si="58"/>
        <v>0</v>
      </c>
      <c r="X155" s="10">
        <f t="shared" si="12"/>
        <v>0</v>
      </c>
      <c r="Y155" s="10">
        <f t="shared" si="13"/>
        <v>0</v>
      </c>
      <c r="Z155" s="10">
        <f t="shared" si="14"/>
        <v>0</v>
      </c>
      <c r="AA155" s="10">
        <f t="shared" si="15"/>
        <v>0</v>
      </c>
      <c r="AB155" s="10">
        <f t="shared" si="16"/>
        <v>0</v>
      </c>
      <c r="AC155" s="10">
        <f t="shared" si="17"/>
        <v>0</v>
      </c>
      <c r="AD155" s="10">
        <f t="shared" si="18"/>
        <v>0</v>
      </c>
      <c r="AE155" s="10">
        <f t="shared" si="19"/>
        <v>0</v>
      </c>
      <c r="AF155" s="10">
        <f t="shared" si="20"/>
        <v>0</v>
      </c>
      <c r="AG155" s="10">
        <f t="shared" si="21"/>
        <v>0</v>
      </c>
      <c r="AH155" s="10">
        <f t="shared" si="22"/>
        <v>0</v>
      </c>
      <c r="AI155" s="10">
        <f t="shared" si="23"/>
        <v>0</v>
      </c>
      <c r="AJ155" s="10">
        <f t="shared" si="24"/>
        <v>0</v>
      </c>
      <c r="AK155" s="10">
        <f t="shared" si="25"/>
        <v>0</v>
      </c>
      <c r="AL155" s="10">
        <f t="shared" si="26"/>
        <v>0</v>
      </c>
      <c r="AM155" s="10">
        <f t="shared" si="27"/>
        <v>0</v>
      </c>
      <c r="AN155" s="46">
        <f t="shared" si="28"/>
        <v>0</v>
      </c>
      <c r="AO155" s="10">
        <f t="shared" si="29"/>
        <v>0</v>
      </c>
      <c r="AP155" s="10">
        <f t="shared" si="30"/>
        <v>0</v>
      </c>
      <c r="AQ155" s="10">
        <f t="shared" si="31"/>
        <v>0</v>
      </c>
      <c r="AR155" s="10">
        <f t="shared" si="32"/>
        <v>0</v>
      </c>
      <c r="AS155" s="10">
        <f t="shared" si="33"/>
        <v>0</v>
      </c>
      <c r="AT155" s="10">
        <f t="shared" si="34"/>
        <v>0</v>
      </c>
      <c r="AU155" s="10">
        <f t="shared" si="35"/>
        <v>0</v>
      </c>
      <c r="AV155" s="10">
        <f t="shared" si="36"/>
        <v>0</v>
      </c>
      <c r="AW155" s="10">
        <f t="shared" si="37"/>
        <v>0</v>
      </c>
      <c r="AX155" s="10">
        <f t="shared" si="38"/>
        <v>0</v>
      </c>
    </row>
    <row r="156" spans="1:50" x14ac:dyDescent="0.2">
      <c r="A156" s="8">
        <v>14170</v>
      </c>
      <c r="B156" s="89" t="str">
        <f t="shared" si="39"/>
        <v>Inner West</v>
      </c>
      <c r="C156" s="9" t="str">
        <f t="shared" si="10"/>
        <v>SSROC</v>
      </c>
      <c r="D156" s="51" t="str">
        <f t="shared" si="11"/>
        <v>S</v>
      </c>
      <c r="E156" s="10">
        <f t="shared" si="40"/>
        <v>0</v>
      </c>
      <c r="F156" s="10">
        <f t="shared" si="41"/>
        <v>201880</v>
      </c>
      <c r="G156" s="10">
        <f t="shared" si="42"/>
        <v>78331</v>
      </c>
      <c r="H156" s="10">
        <f t="shared" si="43"/>
        <v>2.5772682590545251</v>
      </c>
      <c r="I156" s="10">
        <f t="shared" si="44"/>
        <v>35.4</v>
      </c>
      <c r="J156" s="10">
        <f t="shared" si="45"/>
        <v>5707.5</v>
      </c>
      <c r="K156" s="10">
        <f t="shared" si="46"/>
        <v>544</v>
      </c>
      <c r="L156" s="10" t="str">
        <f t="shared" si="47"/>
        <v>Y</v>
      </c>
      <c r="M156" s="10">
        <f t="shared" si="48"/>
        <v>70082</v>
      </c>
      <c r="N156" s="10">
        <f t="shared" si="49"/>
        <v>68490</v>
      </c>
      <c r="O156" s="10">
        <f t="shared" si="50"/>
        <v>34458</v>
      </c>
      <c r="P156" s="10">
        <f t="shared" si="51"/>
        <v>0</v>
      </c>
      <c r="Q156" s="10">
        <f t="shared" si="52"/>
        <v>78331</v>
      </c>
      <c r="R156" s="10" t="str">
        <f t="shared" si="53"/>
        <v>Yes</v>
      </c>
      <c r="S156" s="10" t="str">
        <f t="shared" si="54"/>
        <v>Weekend Transfer Station, 50-54 Moore Street, Leichhardt</v>
      </c>
      <c r="T156" s="10" t="str">
        <f t="shared" si="55"/>
        <v>Community Recycling Centre, 15-17 Unwins Bridge Road, St Peters</v>
      </c>
      <c r="U156" s="10">
        <f t="shared" si="56"/>
        <v>0</v>
      </c>
      <c r="V156" s="10">
        <f t="shared" si="57"/>
        <v>0</v>
      </c>
      <c r="W156" s="10">
        <f t="shared" si="58"/>
        <v>0</v>
      </c>
      <c r="X156" s="10">
        <f t="shared" si="12"/>
        <v>0</v>
      </c>
      <c r="Y156" s="10">
        <f t="shared" si="13"/>
        <v>0</v>
      </c>
      <c r="Z156" s="10">
        <f t="shared" si="14"/>
        <v>0</v>
      </c>
      <c r="AA156" s="10">
        <f t="shared" si="15"/>
        <v>0</v>
      </c>
      <c r="AB156" s="10">
        <f t="shared" si="16"/>
        <v>0</v>
      </c>
      <c r="AC156" s="10">
        <f t="shared" si="17"/>
        <v>0</v>
      </c>
      <c r="AD156" s="10">
        <f t="shared" si="18"/>
        <v>0</v>
      </c>
      <c r="AE156" s="10">
        <f t="shared" si="19"/>
        <v>0</v>
      </c>
      <c r="AF156" s="10">
        <f t="shared" si="20"/>
        <v>0</v>
      </c>
      <c r="AG156" s="10">
        <f t="shared" si="21"/>
        <v>0</v>
      </c>
      <c r="AH156" s="10">
        <f t="shared" si="22"/>
        <v>0</v>
      </c>
      <c r="AI156" s="10">
        <f t="shared" si="23"/>
        <v>0</v>
      </c>
      <c r="AJ156" s="10">
        <f t="shared" si="24"/>
        <v>0</v>
      </c>
      <c r="AK156" s="10">
        <f t="shared" si="25"/>
        <v>0</v>
      </c>
      <c r="AL156" s="10">
        <f t="shared" si="26"/>
        <v>0</v>
      </c>
      <c r="AM156" s="10">
        <f t="shared" si="27"/>
        <v>0</v>
      </c>
      <c r="AN156" s="46">
        <f t="shared" si="28"/>
        <v>0</v>
      </c>
      <c r="AO156" s="10">
        <f t="shared" si="29"/>
        <v>0</v>
      </c>
      <c r="AP156" s="10">
        <f t="shared" si="30"/>
        <v>0</v>
      </c>
      <c r="AQ156" s="10">
        <f t="shared" si="31"/>
        <v>0</v>
      </c>
      <c r="AR156" s="10">
        <f t="shared" si="32"/>
        <v>0</v>
      </c>
      <c r="AS156" s="10">
        <f t="shared" si="33"/>
        <v>0</v>
      </c>
      <c r="AT156" s="10">
        <f t="shared" si="34"/>
        <v>0</v>
      </c>
      <c r="AU156" s="10">
        <f t="shared" si="35"/>
        <v>0</v>
      </c>
      <c r="AV156" s="10">
        <f t="shared" si="36"/>
        <v>0</v>
      </c>
      <c r="AW156" s="10">
        <f t="shared" si="37"/>
        <v>0</v>
      </c>
      <c r="AX156" s="10">
        <f t="shared" si="38"/>
        <v>0</v>
      </c>
    </row>
    <row r="157" spans="1:50" x14ac:dyDescent="0.2">
      <c r="A157" s="8">
        <v>14500</v>
      </c>
      <c r="B157" s="89" t="str">
        <f t="shared" si="39"/>
        <v>Ku-ring-gai</v>
      </c>
      <c r="C157" s="9" t="str">
        <f t="shared" si="10"/>
        <v>NSROC</v>
      </c>
      <c r="D157" s="51" t="str">
        <f t="shared" si="11"/>
        <v>S</v>
      </c>
      <c r="E157" s="10">
        <f t="shared" si="40"/>
        <v>0</v>
      </c>
      <c r="F157" s="10">
        <f t="shared" si="41"/>
        <v>127603</v>
      </c>
      <c r="G157" s="10">
        <f t="shared" si="42"/>
        <v>44570</v>
      </c>
      <c r="H157" s="10">
        <f t="shared" si="43"/>
        <v>2.8629795826789319</v>
      </c>
      <c r="I157" s="10">
        <f t="shared" si="44"/>
        <v>85.4</v>
      </c>
      <c r="J157" s="10">
        <f t="shared" si="45"/>
        <v>1494</v>
      </c>
      <c r="K157" s="10">
        <f t="shared" si="46"/>
        <v>455</v>
      </c>
      <c r="L157" s="10" t="str">
        <f t="shared" si="47"/>
        <v>Y</v>
      </c>
      <c r="M157" s="10">
        <f t="shared" si="48"/>
        <v>44570</v>
      </c>
      <c r="N157" s="10">
        <f t="shared" si="49"/>
        <v>31517</v>
      </c>
      <c r="O157" s="10">
        <f t="shared" si="50"/>
        <v>31094</v>
      </c>
      <c r="P157" s="10">
        <f t="shared" si="51"/>
        <v>0</v>
      </c>
      <c r="Q157" s="10">
        <f t="shared" si="52"/>
        <v>44570</v>
      </c>
      <c r="R157" s="10" t="str">
        <f t="shared" si="53"/>
        <v>Yes</v>
      </c>
      <c r="S157" s="10" t="str">
        <f t="shared" si="54"/>
        <v>Gordon Library Recycling Station</v>
      </c>
      <c r="T157" s="10">
        <f t="shared" si="55"/>
        <v>0</v>
      </c>
      <c r="U157" s="10">
        <f t="shared" si="56"/>
        <v>0</v>
      </c>
      <c r="V157" s="10">
        <f t="shared" si="57"/>
        <v>0</v>
      </c>
      <c r="W157" s="10">
        <f t="shared" si="58"/>
        <v>0</v>
      </c>
      <c r="X157" s="10">
        <f t="shared" si="12"/>
        <v>0</v>
      </c>
      <c r="Y157" s="10">
        <f t="shared" si="13"/>
        <v>0</v>
      </c>
      <c r="Z157" s="10">
        <f t="shared" si="14"/>
        <v>0</v>
      </c>
      <c r="AA157" s="10">
        <f t="shared" si="15"/>
        <v>0</v>
      </c>
      <c r="AB157" s="10">
        <f t="shared" si="16"/>
        <v>0</v>
      </c>
      <c r="AC157" s="10">
        <f t="shared" si="17"/>
        <v>0</v>
      </c>
      <c r="AD157" s="10">
        <f t="shared" si="18"/>
        <v>0</v>
      </c>
      <c r="AE157" s="10">
        <f t="shared" si="19"/>
        <v>0</v>
      </c>
      <c r="AF157" s="10">
        <f t="shared" si="20"/>
        <v>0</v>
      </c>
      <c r="AG157" s="10">
        <f t="shared" si="21"/>
        <v>0</v>
      </c>
      <c r="AH157" s="10">
        <f t="shared" si="22"/>
        <v>0</v>
      </c>
      <c r="AI157" s="10">
        <f t="shared" si="23"/>
        <v>0</v>
      </c>
      <c r="AJ157" s="10">
        <f t="shared" si="24"/>
        <v>0</v>
      </c>
      <c r="AK157" s="10">
        <f t="shared" si="25"/>
        <v>0</v>
      </c>
      <c r="AL157" s="10">
        <f t="shared" si="26"/>
        <v>0</v>
      </c>
      <c r="AM157" s="10">
        <f t="shared" si="27"/>
        <v>0</v>
      </c>
      <c r="AN157" s="46">
        <f t="shared" si="28"/>
        <v>0</v>
      </c>
      <c r="AO157" s="10">
        <f t="shared" si="29"/>
        <v>0</v>
      </c>
      <c r="AP157" s="10">
        <f t="shared" si="30"/>
        <v>0</v>
      </c>
      <c r="AQ157" s="10">
        <f t="shared" si="31"/>
        <v>0</v>
      </c>
      <c r="AR157" s="10">
        <f t="shared" si="32"/>
        <v>0</v>
      </c>
      <c r="AS157" s="10">
        <f t="shared" si="33"/>
        <v>0</v>
      </c>
      <c r="AT157" s="10">
        <f t="shared" si="34"/>
        <v>0</v>
      </c>
      <c r="AU157" s="10">
        <f t="shared" si="35"/>
        <v>0</v>
      </c>
      <c r="AV157" s="10">
        <f t="shared" si="36"/>
        <v>0</v>
      </c>
      <c r="AW157" s="10">
        <f t="shared" si="37"/>
        <v>0</v>
      </c>
      <c r="AX157" s="10">
        <f t="shared" si="38"/>
        <v>0</v>
      </c>
    </row>
    <row r="158" spans="1:50" x14ac:dyDescent="0.2">
      <c r="A158" s="8">
        <v>14700</v>
      </c>
      <c r="B158" s="89" t="str">
        <f t="shared" si="39"/>
        <v>Lane Cove</v>
      </c>
      <c r="C158" s="9" t="str">
        <f t="shared" si="10"/>
        <v>NSROC</v>
      </c>
      <c r="D158" s="51" t="str">
        <f t="shared" si="11"/>
        <v>S</v>
      </c>
      <c r="E158" s="10">
        <f t="shared" si="40"/>
        <v>0</v>
      </c>
      <c r="F158" s="10">
        <f t="shared" si="41"/>
        <v>40534</v>
      </c>
      <c r="G158" s="10">
        <f t="shared" si="42"/>
        <v>18192</v>
      </c>
      <c r="H158" s="10">
        <f t="shared" si="43"/>
        <v>2.2281222515391379</v>
      </c>
      <c r="I158" s="10">
        <f t="shared" si="44"/>
        <v>10.5</v>
      </c>
      <c r="J158" s="10">
        <f t="shared" si="45"/>
        <v>3868</v>
      </c>
      <c r="K158" s="10">
        <f t="shared" si="46"/>
        <v>456.5</v>
      </c>
      <c r="L158" s="10" t="str">
        <f t="shared" si="47"/>
        <v>Y</v>
      </c>
      <c r="M158" s="10">
        <f t="shared" si="48"/>
        <v>18132</v>
      </c>
      <c r="N158" s="10">
        <f t="shared" si="49"/>
        <v>17932</v>
      </c>
      <c r="O158" s="10">
        <f t="shared" si="50"/>
        <v>7203</v>
      </c>
      <c r="P158" s="10">
        <f t="shared" si="51"/>
        <v>0</v>
      </c>
      <c r="Q158" s="10">
        <f t="shared" si="52"/>
        <v>18192</v>
      </c>
      <c r="R158" s="10" t="str">
        <f t="shared" si="53"/>
        <v>No</v>
      </c>
      <c r="S158" s="10">
        <f t="shared" si="54"/>
        <v>0</v>
      </c>
      <c r="T158" s="10">
        <f t="shared" si="55"/>
        <v>0</v>
      </c>
      <c r="U158" s="10">
        <f t="shared" si="56"/>
        <v>0</v>
      </c>
      <c r="V158" s="10">
        <f t="shared" si="57"/>
        <v>0</v>
      </c>
      <c r="W158" s="10">
        <f t="shared" si="58"/>
        <v>0</v>
      </c>
      <c r="X158" s="10">
        <f t="shared" si="12"/>
        <v>0</v>
      </c>
      <c r="Y158" s="10">
        <f t="shared" si="13"/>
        <v>0</v>
      </c>
      <c r="Z158" s="10">
        <f t="shared" si="14"/>
        <v>0</v>
      </c>
      <c r="AA158" s="10">
        <f t="shared" si="15"/>
        <v>0</v>
      </c>
      <c r="AB158" s="10">
        <f t="shared" si="16"/>
        <v>0</v>
      </c>
      <c r="AC158" s="10">
        <f t="shared" si="17"/>
        <v>0</v>
      </c>
      <c r="AD158" s="10">
        <f t="shared" si="18"/>
        <v>0</v>
      </c>
      <c r="AE158" s="10">
        <f t="shared" si="19"/>
        <v>0</v>
      </c>
      <c r="AF158" s="10">
        <f t="shared" si="20"/>
        <v>0</v>
      </c>
      <c r="AG158" s="10">
        <f t="shared" si="21"/>
        <v>0</v>
      </c>
      <c r="AH158" s="10">
        <f t="shared" si="22"/>
        <v>0</v>
      </c>
      <c r="AI158" s="10">
        <f t="shared" si="23"/>
        <v>0</v>
      </c>
      <c r="AJ158" s="10">
        <f t="shared" si="24"/>
        <v>0</v>
      </c>
      <c r="AK158" s="10">
        <f t="shared" si="25"/>
        <v>0</v>
      </c>
      <c r="AL158" s="10">
        <f t="shared" si="26"/>
        <v>0</v>
      </c>
      <c r="AM158" s="10">
        <f t="shared" si="27"/>
        <v>0</v>
      </c>
      <c r="AN158" s="46">
        <f t="shared" si="28"/>
        <v>0</v>
      </c>
      <c r="AO158" s="10">
        <f t="shared" si="29"/>
        <v>0</v>
      </c>
      <c r="AP158" s="10">
        <f t="shared" si="30"/>
        <v>0</v>
      </c>
      <c r="AQ158" s="10">
        <f t="shared" si="31"/>
        <v>0</v>
      </c>
      <c r="AR158" s="10">
        <f t="shared" si="32"/>
        <v>0</v>
      </c>
      <c r="AS158" s="10">
        <f t="shared" si="33"/>
        <v>0</v>
      </c>
      <c r="AT158" s="10">
        <f t="shared" si="34"/>
        <v>0</v>
      </c>
      <c r="AU158" s="10">
        <f t="shared" si="35"/>
        <v>0</v>
      </c>
      <c r="AV158" s="10">
        <f t="shared" si="36"/>
        <v>0</v>
      </c>
      <c r="AW158" s="10">
        <f t="shared" si="37"/>
        <v>0</v>
      </c>
      <c r="AX158" s="10">
        <f t="shared" si="38"/>
        <v>0</v>
      </c>
    </row>
    <row r="159" spans="1:50" x14ac:dyDescent="0.2">
      <c r="A159" s="8">
        <v>14900</v>
      </c>
      <c r="B159" s="89" t="str">
        <f t="shared" si="39"/>
        <v>Liverpool</v>
      </c>
      <c r="C159" s="9" t="str">
        <f t="shared" si="10"/>
        <v>WSROC</v>
      </c>
      <c r="D159" s="51" t="str">
        <f t="shared" si="11"/>
        <v>S</v>
      </c>
      <c r="E159" s="10">
        <f t="shared" si="40"/>
        <v>0</v>
      </c>
      <c r="F159" s="10">
        <f t="shared" si="41"/>
        <v>231296</v>
      </c>
      <c r="G159" s="10">
        <f t="shared" si="42"/>
        <v>75696</v>
      </c>
      <c r="H159" s="10">
        <f t="shared" si="43"/>
        <v>3.055590784189389</v>
      </c>
      <c r="I159" s="10">
        <f t="shared" si="44"/>
        <v>305.7</v>
      </c>
      <c r="J159" s="10">
        <f t="shared" si="45"/>
        <v>756.5</v>
      </c>
      <c r="K159" s="10">
        <f t="shared" si="46"/>
        <v>468</v>
      </c>
      <c r="L159" s="10" t="str">
        <f t="shared" si="47"/>
        <v>Y</v>
      </c>
      <c r="M159" s="10">
        <f t="shared" si="48"/>
        <v>66214</v>
      </c>
      <c r="N159" s="10">
        <f t="shared" si="49"/>
        <v>66214</v>
      </c>
      <c r="O159" s="10">
        <f t="shared" si="50"/>
        <v>54564</v>
      </c>
      <c r="P159" s="10">
        <f t="shared" si="51"/>
        <v>0</v>
      </c>
      <c r="Q159" s="10">
        <f t="shared" si="52"/>
        <v>75696</v>
      </c>
      <c r="R159" s="10" t="str">
        <f t="shared" si="53"/>
        <v>Yes</v>
      </c>
      <c r="S159" s="10" t="str">
        <f t="shared" si="54"/>
        <v>Liverpool Community Recycling Centre</v>
      </c>
      <c r="T159" s="10">
        <f t="shared" si="55"/>
        <v>0</v>
      </c>
      <c r="U159" s="10">
        <f t="shared" si="56"/>
        <v>0</v>
      </c>
      <c r="V159" s="10">
        <f t="shared" si="57"/>
        <v>0</v>
      </c>
      <c r="W159" s="10">
        <f t="shared" si="58"/>
        <v>0</v>
      </c>
      <c r="X159" s="10">
        <f t="shared" si="12"/>
        <v>0</v>
      </c>
      <c r="Y159" s="10">
        <f t="shared" si="13"/>
        <v>0</v>
      </c>
      <c r="Z159" s="10">
        <f t="shared" si="14"/>
        <v>0</v>
      </c>
      <c r="AA159" s="10">
        <f t="shared" si="15"/>
        <v>0</v>
      </c>
      <c r="AB159" s="10">
        <f t="shared" si="16"/>
        <v>0</v>
      </c>
      <c r="AC159" s="10">
        <f t="shared" si="17"/>
        <v>0</v>
      </c>
      <c r="AD159" s="10">
        <f t="shared" si="18"/>
        <v>0</v>
      </c>
      <c r="AE159" s="10">
        <f t="shared" si="19"/>
        <v>0</v>
      </c>
      <c r="AF159" s="10">
        <f t="shared" si="20"/>
        <v>0</v>
      </c>
      <c r="AG159" s="10">
        <f t="shared" si="21"/>
        <v>0</v>
      </c>
      <c r="AH159" s="10">
        <f t="shared" si="22"/>
        <v>0</v>
      </c>
      <c r="AI159" s="10">
        <f t="shared" si="23"/>
        <v>0</v>
      </c>
      <c r="AJ159" s="10">
        <f t="shared" si="24"/>
        <v>0</v>
      </c>
      <c r="AK159" s="10">
        <f t="shared" si="25"/>
        <v>0</v>
      </c>
      <c r="AL159" s="10">
        <f t="shared" si="26"/>
        <v>0</v>
      </c>
      <c r="AM159" s="10">
        <f t="shared" si="27"/>
        <v>0</v>
      </c>
      <c r="AN159" s="46">
        <f t="shared" si="28"/>
        <v>0</v>
      </c>
      <c r="AO159" s="10">
        <f t="shared" si="29"/>
        <v>0</v>
      </c>
      <c r="AP159" s="10">
        <f t="shared" si="30"/>
        <v>0</v>
      </c>
      <c r="AQ159" s="10">
        <f t="shared" si="31"/>
        <v>0</v>
      </c>
      <c r="AR159" s="10">
        <f t="shared" si="32"/>
        <v>0</v>
      </c>
      <c r="AS159" s="10">
        <f t="shared" si="33"/>
        <v>0</v>
      </c>
      <c r="AT159" s="10">
        <f t="shared" si="34"/>
        <v>0</v>
      </c>
      <c r="AU159" s="10">
        <f t="shared" si="35"/>
        <v>0</v>
      </c>
      <c r="AV159" s="10">
        <f t="shared" si="36"/>
        <v>0</v>
      </c>
      <c r="AW159" s="10">
        <f t="shared" si="37"/>
        <v>0</v>
      </c>
      <c r="AX159" s="10">
        <f t="shared" si="38"/>
        <v>0</v>
      </c>
    </row>
    <row r="160" spans="1:50" x14ac:dyDescent="0.2">
      <c r="A160" s="8">
        <v>15350</v>
      </c>
      <c r="B160" s="89" t="str">
        <f t="shared" si="39"/>
        <v>Mosman</v>
      </c>
      <c r="C160" s="9" t="str">
        <f t="shared" si="10"/>
        <v>NSROC</v>
      </c>
      <c r="D160" s="51" t="str">
        <f t="shared" si="11"/>
        <v>S</v>
      </c>
      <c r="E160" s="10">
        <f t="shared" si="40"/>
        <v>0</v>
      </c>
      <c r="F160" s="10">
        <f t="shared" si="41"/>
        <v>30785</v>
      </c>
      <c r="G160" s="10">
        <f t="shared" si="42"/>
        <v>13130</v>
      </c>
      <c r="H160" s="10">
        <f t="shared" si="43"/>
        <v>2.3446306169078448</v>
      </c>
      <c r="I160" s="10">
        <f t="shared" si="44"/>
        <v>8.6999999999999993</v>
      </c>
      <c r="J160" s="10">
        <f t="shared" si="45"/>
        <v>3558.8</v>
      </c>
      <c r="K160" s="10">
        <f t="shared" si="46"/>
        <v>620</v>
      </c>
      <c r="L160" s="10" t="str">
        <f t="shared" si="47"/>
        <v>Y</v>
      </c>
      <c r="M160" s="10">
        <f t="shared" si="48"/>
        <v>13130</v>
      </c>
      <c r="N160" s="10">
        <f t="shared" si="49"/>
        <v>13130</v>
      </c>
      <c r="O160" s="10">
        <f t="shared" si="50"/>
        <v>13130</v>
      </c>
      <c r="P160" s="10">
        <f t="shared" si="51"/>
        <v>0</v>
      </c>
      <c r="Q160" s="10">
        <f t="shared" si="52"/>
        <v>13130</v>
      </c>
      <c r="R160" s="10" t="str">
        <f t="shared" si="53"/>
        <v>Yes</v>
      </c>
      <c r="S160" s="10" t="str">
        <f t="shared" si="54"/>
        <v>CRC Artarmon</v>
      </c>
      <c r="T160" s="10" t="str">
        <f t="shared" si="55"/>
        <v>Kimbriki resource recovery centre</v>
      </c>
      <c r="U160" s="10">
        <f t="shared" si="56"/>
        <v>0</v>
      </c>
      <c r="V160" s="10">
        <f t="shared" si="57"/>
        <v>0</v>
      </c>
      <c r="W160" s="10">
        <f t="shared" si="58"/>
        <v>0</v>
      </c>
      <c r="X160" s="10">
        <f t="shared" si="12"/>
        <v>0</v>
      </c>
      <c r="Y160" s="10">
        <f t="shared" si="13"/>
        <v>0</v>
      </c>
      <c r="Z160" s="10">
        <f t="shared" si="14"/>
        <v>0</v>
      </c>
      <c r="AA160" s="10">
        <f t="shared" si="15"/>
        <v>0</v>
      </c>
      <c r="AB160" s="10">
        <f t="shared" si="16"/>
        <v>0</v>
      </c>
      <c r="AC160" s="10">
        <f t="shared" si="17"/>
        <v>0</v>
      </c>
      <c r="AD160" s="10">
        <f t="shared" si="18"/>
        <v>0</v>
      </c>
      <c r="AE160" s="10">
        <f t="shared" si="19"/>
        <v>0</v>
      </c>
      <c r="AF160" s="10">
        <f t="shared" si="20"/>
        <v>0</v>
      </c>
      <c r="AG160" s="10">
        <f t="shared" si="21"/>
        <v>0</v>
      </c>
      <c r="AH160" s="10">
        <f t="shared" si="22"/>
        <v>0</v>
      </c>
      <c r="AI160" s="10">
        <f t="shared" si="23"/>
        <v>0</v>
      </c>
      <c r="AJ160" s="10">
        <f t="shared" si="24"/>
        <v>0</v>
      </c>
      <c r="AK160" s="10">
        <f t="shared" si="25"/>
        <v>0</v>
      </c>
      <c r="AL160" s="10">
        <f t="shared" si="26"/>
        <v>0</v>
      </c>
      <c r="AM160" s="10">
        <f t="shared" si="27"/>
        <v>0</v>
      </c>
      <c r="AN160" s="46">
        <f t="shared" si="28"/>
        <v>0</v>
      </c>
      <c r="AO160" s="10">
        <f t="shared" si="29"/>
        <v>0</v>
      </c>
      <c r="AP160" s="10">
        <f t="shared" si="30"/>
        <v>0</v>
      </c>
      <c r="AQ160" s="10">
        <f t="shared" si="31"/>
        <v>0</v>
      </c>
      <c r="AR160" s="10">
        <f t="shared" si="32"/>
        <v>0</v>
      </c>
      <c r="AS160" s="10">
        <f t="shared" si="33"/>
        <v>0</v>
      </c>
      <c r="AT160" s="10">
        <f t="shared" si="34"/>
        <v>0</v>
      </c>
      <c r="AU160" s="10">
        <f t="shared" si="35"/>
        <v>0</v>
      </c>
      <c r="AV160" s="10">
        <f t="shared" si="36"/>
        <v>0</v>
      </c>
      <c r="AW160" s="10">
        <f t="shared" si="37"/>
        <v>0</v>
      </c>
      <c r="AX160" s="10">
        <f t="shared" si="38"/>
        <v>0</v>
      </c>
    </row>
    <row r="161" spans="1:50" x14ac:dyDescent="0.2">
      <c r="A161" s="8">
        <v>15950</v>
      </c>
      <c r="B161" s="89" t="str">
        <f t="shared" si="39"/>
        <v>North Sydney</v>
      </c>
      <c r="C161" s="9" t="str">
        <f t="shared" si="10"/>
        <v>NSROC</v>
      </c>
      <c r="D161" s="51" t="str">
        <f t="shared" si="11"/>
        <v>S</v>
      </c>
      <c r="E161" s="10">
        <f t="shared" si="40"/>
        <v>0</v>
      </c>
      <c r="F161" s="10">
        <f t="shared" si="41"/>
        <v>75094</v>
      </c>
      <c r="G161" s="10">
        <f t="shared" si="42"/>
        <v>40704</v>
      </c>
      <c r="H161" s="10">
        <f t="shared" si="43"/>
        <v>1.8448801100628931</v>
      </c>
      <c r="I161" s="10">
        <f t="shared" si="44"/>
        <v>10.5</v>
      </c>
      <c r="J161" s="10">
        <f t="shared" si="45"/>
        <v>7161.6</v>
      </c>
      <c r="K161" s="10">
        <f t="shared" si="46"/>
        <v>420</v>
      </c>
      <c r="L161" s="10" t="str">
        <f t="shared" si="47"/>
        <v>Y</v>
      </c>
      <c r="M161" s="10">
        <f t="shared" si="48"/>
        <v>39026</v>
      </c>
      <c r="N161" s="10">
        <f t="shared" si="49"/>
        <v>40704</v>
      </c>
      <c r="O161" s="10">
        <f t="shared" si="50"/>
        <v>0</v>
      </c>
      <c r="P161" s="10">
        <f t="shared" si="51"/>
        <v>0</v>
      </c>
      <c r="Q161" s="10">
        <f t="shared" si="52"/>
        <v>40704</v>
      </c>
      <c r="R161" s="10" t="str">
        <f t="shared" si="53"/>
        <v>Yes</v>
      </c>
      <c r="S161" s="10" t="str">
        <f t="shared" si="54"/>
        <v xml:space="preserve">Northern Sydney Community Recycling Centre </v>
      </c>
      <c r="T161" s="10">
        <f t="shared" si="55"/>
        <v>0</v>
      </c>
      <c r="U161" s="10">
        <f t="shared" si="56"/>
        <v>0</v>
      </c>
      <c r="V161" s="10">
        <f t="shared" si="57"/>
        <v>0</v>
      </c>
      <c r="W161" s="10">
        <f t="shared" si="58"/>
        <v>0</v>
      </c>
      <c r="X161" s="10">
        <f t="shared" si="12"/>
        <v>0</v>
      </c>
      <c r="Y161" s="10">
        <f t="shared" si="13"/>
        <v>0</v>
      </c>
      <c r="Z161" s="10">
        <f t="shared" si="14"/>
        <v>0</v>
      </c>
      <c r="AA161" s="10">
        <f t="shared" si="15"/>
        <v>0</v>
      </c>
      <c r="AB161" s="10">
        <f t="shared" si="16"/>
        <v>0</v>
      </c>
      <c r="AC161" s="10">
        <f t="shared" si="17"/>
        <v>0</v>
      </c>
      <c r="AD161" s="10">
        <f t="shared" si="18"/>
        <v>0</v>
      </c>
      <c r="AE161" s="10">
        <f t="shared" si="19"/>
        <v>0</v>
      </c>
      <c r="AF161" s="10">
        <f t="shared" si="20"/>
        <v>0</v>
      </c>
      <c r="AG161" s="10">
        <f t="shared" si="21"/>
        <v>0</v>
      </c>
      <c r="AH161" s="10">
        <f t="shared" si="22"/>
        <v>0</v>
      </c>
      <c r="AI161" s="10">
        <f t="shared" si="23"/>
        <v>0</v>
      </c>
      <c r="AJ161" s="10">
        <f t="shared" si="24"/>
        <v>0</v>
      </c>
      <c r="AK161" s="10">
        <f t="shared" si="25"/>
        <v>0</v>
      </c>
      <c r="AL161" s="10">
        <f t="shared" si="26"/>
        <v>0</v>
      </c>
      <c r="AM161" s="10">
        <f t="shared" si="27"/>
        <v>0</v>
      </c>
      <c r="AN161" s="46">
        <f t="shared" si="28"/>
        <v>0</v>
      </c>
      <c r="AO161" s="10">
        <f t="shared" si="29"/>
        <v>0</v>
      </c>
      <c r="AP161" s="10">
        <f t="shared" si="30"/>
        <v>0</v>
      </c>
      <c r="AQ161" s="10">
        <f t="shared" si="31"/>
        <v>0</v>
      </c>
      <c r="AR161" s="10">
        <f t="shared" si="32"/>
        <v>0</v>
      </c>
      <c r="AS161" s="10">
        <f t="shared" si="33"/>
        <v>0</v>
      </c>
      <c r="AT161" s="10">
        <f t="shared" si="34"/>
        <v>0</v>
      </c>
      <c r="AU161" s="10">
        <f t="shared" si="35"/>
        <v>0</v>
      </c>
      <c r="AV161" s="10">
        <f t="shared" si="36"/>
        <v>0</v>
      </c>
      <c r="AW161" s="10">
        <f t="shared" si="37"/>
        <v>0</v>
      </c>
      <c r="AX161" s="10">
        <f t="shared" si="38"/>
        <v>0</v>
      </c>
    </row>
    <row r="162" spans="1:50" x14ac:dyDescent="0.2">
      <c r="A162" s="8">
        <v>15990</v>
      </c>
      <c r="B162" s="89" t="str">
        <f t="shared" si="39"/>
        <v>Northern Beaches</v>
      </c>
      <c r="C162" s="9">
        <f t="shared" si="10"/>
        <v>0</v>
      </c>
      <c r="D162" s="51" t="str">
        <f t="shared" si="11"/>
        <v>S</v>
      </c>
      <c r="E162" s="10">
        <f t="shared" si="40"/>
        <v>0</v>
      </c>
      <c r="F162" s="10">
        <f t="shared" si="41"/>
        <v>274041</v>
      </c>
      <c r="G162" s="10">
        <f t="shared" si="42"/>
        <v>114860</v>
      </c>
      <c r="H162" s="10">
        <f t="shared" si="43"/>
        <v>2.3858697544837195</v>
      </c>
      <c r="I162" s="10">
        <f t="shared" si="44"/>
        <v>254.2</v>
      </c>
      <c r="J162" s="10">
        <f t="shared" si="45"/>
        <v>1078</v>
      </c>
      <c r="K162" s="10">
        <f t="shared" si="46"/>
        <v>446</v>
      </c>
      <c r="L162" s="10" t="str">
        <f t="shared" si="47"/>
        <v>Y</v>
      </c>
      <c r="M162" s="10">
        <f t="shared" si="48"/>
        <v>112806</v>
      </c>
      <c r="N162" s="10">
        <f t="shared" si="49"/>
        <v>112806</v>
      </c>
      <c r="O162" s="10">
        <f t="shared" si="50"/>
        <v>112806</v>
      </c>
      <c r="P162" s="10">
        <f t="shared" si="51"/>
        <v>0</v>
      </c>
      <c r="Q162" s="10">
        <f t="shared" si="52"/>
        <v>114860</v>
      </c>
      <c r="R162" s="10" t="str">
        <f t="shared" si="53"/>
        <v>Yes</v>
      </c>
      <c r="S162" s="10" t="str">
        <f t="shared" si="54"/>
        <v>Manly Customer Service Centre 1 Belgrave Street Manly NSW 2095</v>
      </c>
      <c r="T162" s="10" t="str">
        <f t="shared" si="55"/>
        <v>Mona Vale Customer Centre Village Park, 1 Park Street Mona Vale NSW 2103</v>
      </c>
      <c r="U162" s="10" t="str">
        <f t="shared" si="56"/>
        <v>Dee Why Customer Service 725 Pittwater Road Dee Why NSW 2099</v>
      </c>
      <c r="V162" s="10">
        <f t="shared" si="57"/>
        <v>0</v>
      </c>
      <c r="W162" s="10">
        <f t="shared" si="58"/>
        <v>0</v>
      </c>
      <c r="X162" s="10">
        <f t="shared" si="12"/>
        <v>0</v>
      </c>
      <c r="Y162" s="10">
        <f t="shared" si="13"/>
        <v>0</v>
      </c>
      <c r="Z162" s="10">
        <f t="shared" si="14"/>
        <v>0</v>
      </c>
      <c r="AA162" s="10">
        <f t="shared" si="15"/>
        <v>0</v>
      </c>
      <c r="AB162" s="10">
        <f t="shared" si="16"/>
        <v>0</v>
      </c>
      <c r="AC162" s="10">
        <f t="shared" si="17"/>
        <v>0</v>
      </c>
      <c r="AD162" s="10">
        <f t="shared" si="18"/>
        <v>0</v>
      </c>
      <c r="AE162" s="10">
        <f t="shared" si="19"/>
        <v>0</v>
      </c>
      <c r="AF162" s="10">
        <f t="shared" si="20"/>
        <v>0</v>
      </c>
      <c r="AG162" s="10">
        <f t="shared" si="21"/>
        <v>0</v>
      </c>
      <c r="AH162" s="10">
        <f t="shared" si="22"/>
        <v>0</v>
      </c>
      <c r="AI162" s="10">
        <f t="shared" si="23"/>
        <v>0</v>
      </c>
      <c r="AJ162" s="10">
        <f t="shared" si="24"/>
        <v>0</v>
      </c>
      <c r="AK162" s="10">
        <f t="shared" si="25"/>
        <v>0</v>
      </c>
      <c r="AL162" s="10">
        <f t="shared" si="26"/>
        <v>0</v>
      </c>
      <c r="AM162" s="10">
        <f t="shared" si="27"/>
        <v>0</v>
      </c>
      <c r="AN162" s="46">
        <f t="shared" si="28"/>
        <v>0</v>
      </c>
      <c r="AO162" s="10">
        <f t="shared" si="29"/>
        <v>0</v>
      </c>
      <c r="AP162" s="10">
        <f t="shared" si="30"/>
        <v>0</v>
      </c>
      <c r="AQ162" s="10">
        <f t="shared" si="31"/>
        <v>0</v>
      </c>
      <c r="AR162" s="10">
        <f t="shared" si="32"/>
        <v>0</v>
      </c>
      <c r="AS162" s="10">
        <f t="shared" si="33"/>
        <v>0</v>
      </c>
      <c r="AT162" s="10">
        <f t="shared" si="34"/>
        <v>0</v>
      </c>
      <c r="AU162" s="10">
        <f t="shared" si="35"/>
        <v>0</v>
      </c>
      <c r="AV162" s="10">
        <f t="shared" si="36"/>
        <v>0</v>
      </c>
      <c r="AW162" s="10">
        <f t="shared" si="37"/>
        <v>0</v>
      </c>
      <c r="AX162" s="10">
        <f t="shared" si="38"/>
        <v>0</v>
      </c>
    </row>
    <row r="163" spans="1:50" x14ac:dyDescent="0.2">
      <c r="A163" s="8">
        <v>16260</v>
      </c>
      <c r="B163" s="89" t="str">
        <f t="shared" si="39"/>
        <v>Parramatta</v>
      </c>
      <c r="C163" s="9" t="str">
        <f t="shared" si="10"/>
        <v>WSROC</v>
      </c>
      <c r="D163" s="51" t="str">
        <f t="shared" si="11"/>
        <v>S</v>
      </c>
      <c r="E163" s="10">
        <f t="shared" si="40"/>
        <v>0</v>
      </c>
      <c r="F163" s="10">
        <f t="shared" si="41"/>
        <v>260296</v>
      </c>
      <c r="G163" s="10">
        <f t="shared" si="42"/>
        <v>99188</v>
      </c>
      <c r="H163" s="10">
        <f t="shared" si="43"/>
        <v>2.6242690648062266</v>
      </c>
      <c r="I163" s="10">
        <f t="shared" si="44"/>
        <v>83.8</v>
      </c>
      <c r="J163" s="10">
        <f t="shared" si="45"/>
        <v>3105.1</v>
      </c>
      <c r="K163" s="10">
        <f t="shared" si="46"/>
        <v>440.8</v>
      </c>
      <c r="L163" s="10" t="str">
        <f t="shared" si="47"/>
        <v>Y</v>
      </c>
      <c r="M163" s="10">
        <f t="shared" si="48"/>
        <v>87570</v>
      </c>
      <c r="N163" s="10">
        <f t="shared" si="49"/>
        <v>87551</v>
      </c>
      <c r="O163" s="10">
        <f t="shared" si="50"/>
        <v>87492</v>
      </c>
      <c r="P163" s="10">
        <f t="shared" si="51"/>
        <v>0</v>
      </c>
      <c r="Q163" s="10">
        <f t="shared" si="52"/>
        <v>99188</v>
      </c>
      <c r="R163" s="10" t="str">
        <f t="shared" si="53"/>
        <v>Yes</v>
      </c>
      <c r="S163" s="10">
        <f t="shared" si="54"/>
        <v>0</v>
      </c>
      <c r="T163" s="10">
        <f t="shared" si="55"/>
        <v>0</v>
      </c>
      <c r="U163" s="10">
        <f t="shared" si="56"/>
        <v>0</v>
      </c>
      <c r="V163" s="10">
        <f t="shared" si="57"/>
        <v>0</v>
      </c>
      <c r="W163" s="10">
        <f t="shared" si="58"/>
        <v>0</v>
      </c>
      <c r="X163" s="10">
        <f t="shared" si="12"/>
        <v>0</v>
      </c>
      <c r="Y163" s="10">
        <f t="shared" si="13"/>
        <v>0</v>
      </c>
      <c r="Z163" s="10">
        <f t="shared" si="14"/>
        <v>0</v>
      </c>
      <c r="AA163" s="10">
        <f t="shared" si="15"/>
        <v>0</v>
      </c>
      <c r="AB163" s="10">
        <f t="shared" si="16"/>
        <v>0</v>
      </c>
      <c r="AC163" s="10">
        <f t="shared" si="17"/>
        <v>0</v>
      </c>
      <c r="AD163" s="10">
        <f t="shared" si="18"/>
        <v>0</v>
      </c>
      <c r="AE163" s="10">
        <f t="shared" si="19"/>
        <v>0</v>
      </c>
      <c r="AF163" s="10">
        <f t="shared" si="20"/>
        <v>0</v>
      </c>
      <c r="AG163" s="10">
        <f t="shared" si="21"/>
        <v>0</v>
      </c>
      <c r="AH163" s="10">
        <f t="shared" si="22"/>
        <v>0</v>
      </c>
      <c r="AI163" s="10">
        <f t="shared" si="23"/>
        <v>0</v>
      </c>
      <c r="AJ163" s="10">
        <f t="shared" si="24"/>
        <v>0</v>
      </c>
      <c r="AK163" s="10">
        <f t="shared" si="25"/>
        <v>0</v>
      </c>
      <c r="AL163" s="10">
        <f t="shared" si="26"/>
        <v>0</v>
      </c>
      <c r="AM163" s="10">
        <f t="shared" si="27"/>
        <v>0</v>
      </c>
      <c r="AN163" s="46">
        <f t="shared" si="28"/>
        <v>0</v>
      </c>
      <c r="AO163" s="10">
        <f t="shared" si="29"/>
        <v>0</v>
      </c>
      <c r="AP163" s="10">
        <f t="shared" si="30"/>
        <v>0</v>
      </c>
      <c r="AQ163" s="10">
        <f t="shared" si="31"/>
        <v>0</v>
      </c>
      <c r="AR163" s="10">
        <f t="shared" si="32"/>
        <v>0</v>
      </c>
      <c r="AS163" s="10">
        <f t="shared" si="33"/>
        <v>0</v>
      </c>
      <c r="AT163" s="10">
        <f t="shared" si="34"/>
        <v>0</v>
      </c>
      <c r="AU163" s="10">
        <f t="shared" si="35"/>
        <v>0</v>
      </c>
      <c r="AV163" s="10">
        <f t="shared" si="36"/>
        <v>0</v>
      </c>
      <c r="AW163" s="10">
        <f t="shared" si="37"/>
        <v>0</v>
      </c>
      <c r="AX163" s="10">
        <f t="shared" si="38"/>
        <v>0</v>
      </c>
    </row>
    <row r="164" spans="1:50" x14ac:dyDescent="0.2">
      <c r="A164" s="8">
        <v>16350</v>
      </c>
      <c r="B164" s="89" t="str">
        <f t="shared" si="39"/>
        <v>Penrith</v>
      </c>
      <c r="C164" s="9" t="str">
        <f t="shared" si="10"/>
        <v>WSROC</v>
      </c>
      <c r="D164" s="51" t="str">
        <f t="shared" si="11"/>
        <v>S</v>
      </c>
      <c r="E164" s="10">
        <f t="shared" si="40"/>
        <v>0</v>
      </c>
      <c r="F164" s="10">
        <f t="shared" si="41"/>
        <v>216282</v>
      </c>
      <c r="G164" s="10">
        <f t="shared" si="42"/>
        <v>81203</v>
      </c>
      <c r="H164" s="10">
        <f t="shared" si="43"/>
        <v>2.6634730243956506</v>
      </c>
      <c r="I164" s="10">
        <f t="shared" si="44"/>
        <v>404.7</v>
      </c>
      <c r="J164" s="10">
        <f t="shared" si="45"/>
        <v>534.4</v>
      </c>
      <c r="K164" s="10">
        <f t="shared" si="46"/>
        <v>399</v>
      </c>
      <c r="L164" s="10" t="str">
        <f t="shared" si="47"/>
        <v>Y</v>
      </c>
      <c r="M164" s="10">
        <f t="shared" si="48"/>
        <v>80006</v>
      </c>
      <c r="N164" s="10">
        <f t="shared" si="49"/>
        <v>80006</v>
      </c>
      <c r="O164" s="10">
        <f t="shared" si="50"/>
        <v>0</v>
      </c>
      <c r="P164" s="10">
        <f t="shared" si="51"/>
        <v>66673</v>
      </c>
      <c r="Q164" s="10">
        <f t="shared" si="52"/>
        <v>81203</v>
      </c>
      <c r="R164" s="10" t="str">
        <f t="shared" si="53"/>
        <v>No</v>
      </c>
      <c r="S164" s="10" t="str">
        <f t="shared" si="54"/>
        <v>Penrith Library 601 High Street, Penrith</v>
      </c>
      <c r="T164" s="10" t="str">
        <f t="shared" si="55"/>
        <v>St Marys Library 207 - 209 Queen Street, St Marys</v>
      </c>
      <c r="U164" s="10" t="str">
        <f t="shared" si="56"/>
        <v>St Clair Library Shop 12, St Clair Shopping Centre, Bennett Road and Endeavour Avenue</v>
      </c>
      <c r="V164" s="10">
        <f t="shared" si="57"/>
        <v>0</v>
      </c>
      <c r="W164" s="10">
        <f t="shared" si="58"/>
        <v>0</v>
      </c>
      <c r="X164" s="10">
        <f t="shared" si="12"/>
        <v>0</v>
      </c>
      <c r="Y164" s="10">
        <f t="shared" si="13"/>
        <v>0</v>
      </c>
      <c r="Z164" s="10">
        <f t="shared" si="14"/>
        <v>0</v>
      </c>
      <c r="AA164" s="10">
        <f t="shared" si="15"/>
        <v>0</v>
      </c>
      <c r="AB164" s="10">
        <f t="shared" si="16"/>
        <v>0</v>
      </c>
      <c r="AC164" s="10">
        <f t="shared" si="17"/>
        <v>0</v>
      </c>
      <c r="AD164" s="10">
        <f t="shared" si="18"/>
        <v>0</v>
      </c>
      <c r="AE164" s="10">
        <f t="shared" si="19"/>
        <v>0</v>
      </c>
      <c r="AF164" s="10">
        <f t="shared" si="20"/>
        <v>0</v>
      </c>
      <c r="AG164" s="10">
        <f t="shared" si="21"/>
        <v>0</v>
      </c>
      <c r="AH164" s="10">
        <f t="shared" si="22"/>
        <v>0</v>
      </c>
      <c r="AI164" s="10">
        <f t="shared" si="23"/>
        <v>0</v>
      </c>
      <c r="AJ164" s="10">
        <f t="shared" si="24"/>
        <v>0</v>
      </c>
      <c r="AK164" s="10">
        <f t="shared" si="25"/>
        <v>0</v>
      </c>
      <c r="AL164" s="10">
        <f t="shared" si="26"/>
        <v>0</v>
      </c>
      <c r="AM164" s="10">
        <f t="shared" si="27"/>
        <v>0</v>
      </c>
      <c r="AN164" s="46">
        <f t="shared" si="28"/>
        <v>0</v>
      </c>
      <c r="AO164" s="10">
        <f t="shared" si="29"/>
        <v>0</v>
      </c>
      <c r="AP164" s="10">
        <f t="shared" si="30"/>
        <v>0</v>
      </c>
      <c r="AQ164" s="10">
        <f t="shared" si="31"/>
        <v>0</v>
      </c>
      <c r="AR164" s="10">
        <f t="shared" si="32"/>
        <v>0</v>
      </c>
      <c r="AS164" s="10">
        <f t="shared" si="33"/>
        <v>0</v>
      </c>
      <c r="AT164" s="10">
        <f t="shared" si="34"/>
        <v>0</v>
      </c>
      <c r="AU164" s="10">
        <f t="shared" si="35"/>
        <v>0</v>
      </c>
      <c r="AV164" s="10">
        <f t="shared" si="36"/>
        <v>0</v>
      </c>
      <c r="AW164" s="10">
        <f t="shared" si="37"/>
        <v>0</v>
      </c>
      <c r="AX164" s="10">
        <f t="shared" si="38"/>
        <v>0</v>
      </c>
    </row>
    <row r="165" spans="1:50" x14ac:dyDescent="0.2">
      <c r="A165" s="8">
        <v>16550</v>
      </c>
      <c r="B165" s="89" t="str">
        <f t="shared" si="39"/>
        <v>Randwick</v>
      </c>
      <c r="C165" s="9" t="str">
        <f t="shared" si="10"/>
        <v>SSROC</v>
      </c>
      <c r="D165" s="51" t="str">
        <f t="shared" si="11"/>
        <v>S</v>
      </c>
      <c r="E165" s="10">
        <f t="shared" si="40"/>
        <v>0</v>
      </c>
      <c r="F165" s="10">
        <f t="shared" si="41"/>
        <v>156619</v>
      </c>
      <c r="G165" s="10">
        <f t="shared" si="42"/>
        <v>59726</v>
      </c>
      <c r="H165" s="10">
        <f t="shared" si="43"/>
        <v>2.6222917992164216</v>
      </c>
      <c r="I165" s="10">
        <f t="shared" si="44"/>
        <v>36.299999999999997</v>
      </c>
      <c r="J165" s="10">
        <f t="shared" si="45"/>
        <v>4310.8999999999996</v>
      </c>
      <c r="K165" s="10">
        <f t="shared" si="46"/>
        <v>604.75</v>
      </c>
      <c r="L165" s="10" t="str">
        <f t="shared" si="47"/>
        <v>Y</v>
      </c>
      <c r="M165" s="10">
        <f t="shared" si="48"/>
        <v>58388</v>
      </c>
      <c r="N165" s="10">
        <f t="shared" si="49"/>
        <v>59328</v>
      </c>
      <c r="O165" s="10">
        <f t="shared" si="50"/>
        <v>59692</v>
      </c>
      <c r="P165" s="10">
        <f t="shared" si="51"/>
        <v>59692</v>
      </c>
      <c r="Q165" s="10">
        <f t="shared" si="52"/>
        <v>59726</v>
      </c>
      <c r="R165" s="10" t="str">
        <f t="shared" si="53"/>
        <v>Yes</v>
      </c>
      <c r="S165" s="10" t="str">
        <f t="shared" si="54"/>
        <v>72 Perry Street, Matraville NSW 2036</v>
      </c>
      <c r="T165" s="10">
        <f t="shared" si="55"/>
        <v>0</v>
      </c>
      <c r="U165" s="10">
        <f t="shared" si="56"/>
        <v>0</v>
      </c>
      <c r="V165" s="10">
        <f t="shared" si="57"/>
        <v>0</v>
      </c>
      <c r="W165" s="10">
        <f t="shared" si="58"/>
        <v>0</v>
      </c>
      <c r="X165" s="10">
        <f t="shared" si="12"/>
        <v>0</v>
      </c>
      <c r="Y165" s="10">
        <f t="shared" si="13"/>
        <v>0</v>
      </c>
      <c r="Z165" s="10">
        <f t="shared" si="14"/>
        <v>0</v>
      </c>
      <c r="AA165" s="10">
        <f t="shared" si="15"/>
        <v>0</v>
      </c>
      <c r="AB165" s="10">
        <f t="shared" si="16"/>
        <v>0</v>
      </c>
      <c r="AC165" s="10">
        <f t="shared" si="17"/>
        <v>0</v>
      </c>
      <c r="AD165" s="10">
        <f t="shared" si="18"/>
        <v>0</v>
      </c>
      <c r="AE165" s="10">
        <f t="shared" si="19"/>
        <v>0</v>
      </c>
      <c r="AF165" s="10">
        <f t="shared" si="20"/>
        <v>0</v>
      </c>
      <c r="AG165" s="10">
        <f t="shared" si="21"/>
        <v>0</v>
      </c>
      <c r="AH165" s="10">
        <f t="shared" si="22"/>
        <v>0</v>
      </c>
      <c r="AI165" s="10">
        <f t="shared" si="23"/>
        <v>0</v>
      </c>
      <c r="AJ165" s="10">
        <f t="shared" si="24"/>
        <v>0</v>
      </c>
      <c r="AK165" s="10">
        <f t="shared" si="25"/>
        <v>0</v>
      </c>
      <c r="AL165" s="10">
        <f t="shared" si="26"/>
        <v>0</v>
      </c>
      <c r="AM165" s="10">
        <f t="shared" si="27"/>
        <v>0</v>
      </c>
      <c r="AN165" s="46">
        <f t="shared" si="28"/>
        <v>0</v>
      </c>
      <c r="AO165" s="10">
        <f t="shared" si="29"/>
        <v>0</v>
      </c>
      <c r="AP165" s="10">
        <f t="shared" si="30"/>
        <v>0</v>
      </c>
      <c r="AQ165" s="10">
        <f t="shared" si="31"/>
        <v>0</v>
      </c>
      <c r="AR165" s="10">
        <f t="shared" si="32"/>
        <v>0</v>
      </c>
      <c r="AS165" s="10">
        <f t="shared" si="33"/>
        <v>0</v>
      </c>
      <c r="AT165" s="10">
        <f t="shared" si="34"/>
        <v>0</v>
      </c>
      <c r="AU165" s="10">
        <f t="shared" si="35"/>
        <v>0</v>
      </c>
      <c r="AV165" s="10">
        <f t="shared" si="36"/>
        <v>0</v>
      </c>
      <c r="AW165" s="10">
        <f t="shared" si="37"/>
        <v>0</v>
      </c>
      <c r="AX165" s="10">
        <f t="shared" si="38"/>
        <v>0</v>
      </c>
    </row>
    <row r="166" spans="1:50" x14ac:dyDescent="0.2">
      <c r="A166" s="8">
        <v>16700</v>
      </c>
      <c r="B166" s="89" t="str">
        <f t="shared" si="39"/>
        <v>Ryde</v>
      </c>
      <c r="C166" s="9" t="str">
        <f t="shared" si="10"/>
        <v>NSROC</v>
      </c>
      <c r="D166" s="51" t="str">
        <f t="shared" si="11"/>
        <v>S</v>
      </c>
      <c r="E166" s="10">
        <f t="shared" si="40"/>
        <v>0</v>
      </c>
      <c r="F166" s="10">
        <f t="shared" si="41"/>
        <v>133224</v>
      </c>
      <c r="G166" s="10">
        <f t="shared" si="42"/>
        <v>51509</v>
      </c>
      <c r="H166" s="10">
        <f t="shared" si="43"/>
        <v>2.5864217903667321</v>
      </c>
      <c r="I166" s="10">
        <f t="shared" si="44"/>
        <v>40.5</v>
      </c>
      <c r="J166" s="10">
        <f t="shared" si="45"/>
        <v>3291.5</v>
      </c>
      <c r="K166" s="10">
        <f t="shared" si="46"/>
        <v>433</v>
      </c>
      <c r="L166" s="10" t="str">
        <f t="shared" si="47"/>
        <v>Y</v>
      </c>
      <c r="M166" s="10">
        <f t="shared" si="48"/>
        <v>34664</v>
      </c>
      <c r="N166" s="10">
        <f t="shared" si="49"/>
        <v>35985</v>
      </c>
      <c r="O166" s="10">
        <f t="shared" si="50"/>
        <v>28525</v>
      </c>
      <c r="P166" s="10">
        <f t="shared" si="51"/>
        <v>0</v>
      </c>
      <c r="Q166" s="10">
        <f t="shared" si="52"/>
        <v>51509</v>
      </c>
      <c r="R166" s="10" t="str">
        <f t="shared" si="53"/>
        <v>Yes</v>
      </c>
      <c r="S166" s="10">
        <f t="shared" si="54"/>
        <v>0</v>
      </c>
      <c r="T166" s="10">
        <f t="shared" si="55"/>
        <v>0</v>
      </c>
      <c r="U166" s="10">
        <f t="shared" si="56"/>
        <v>0</v>
      </c>
      <c r="V166" s="10">
        <f t="shared" si="57"/>
        <v>0</v>
      </c>
      <c r="W166" s="10">
        <f t="shared" si="58"/>
        <v>0</v>
      </c>
      <c r="X166" s="10">
        <f t="shared" si="12"/>
        <v>0</v>
      </c>
      <c r="Y166" s="10">
        <f t="shared" si="13"/>
        <v>0</v>
      </c>
      <c r="Z166" s="10">
        <f t="shared" si="14"/>
        <v>0</v>
      </c>
      <c r="AA166" s="10">
        <f t="shared" si="15"/>
        <v>0</v>
      </c>
      <c r="AB166" s="10">
        <f t="shared" si="16"/>
        <v>0</v>
      </c>
      <c r="AC166" s="10">
        <f t="shared" si="17"/>
        <v>0</v>
      </c>
      <c r="AD166" s="10">
        <f t="shared" si="18"/>
        <v>0</v>
      </c>
      <c r="AE166" s="10">
        <f t="shared" si="19"/>
        <v>0</v>
      </c>
      <c r="AF166" s="10">
        <f t="shared" si="20"/>
        <v>0</v>
      </c>
      <c r="AG166" s="10">
        <f t="shared" si="21"/>
        <v>0</v>
      </c>
      <c r="AH166" s="10">
        <f t="shared" si="22"/>
        <v>0</v>
      </c>
      <c r="AI166" s="10">
        <f t="shared" si="23"/>
        <v>0</v>
      </c>
      <c r="AJ166" s="10">
        <f t="shared" si="24"/>
        <v>0</v>
      </c>
      <c r="AK166" s="10">
        <f t="shared" si="25"/>
        <v>0</v>
      </c>
      <c r="AL166" s="10">
        <f t="shared" si="26"/>
        <v>0</v>
      </c>
      <c r="AM166" s="10">
        <f t="shared" si="27"/>
        <v>0</v>
      </c>
      <c r="AN166" s="46">
        <f t="shared" si="28"/>
        <v>0</v>
      </c>
      <c r="AO166" s="10">
        <f t="shared" si="29"/>
        <v>0</v>
      </c>
      <c r="AP166" s="10">
        <f t="shared" si="30"/>
        <v>0</v>
      </c>
      <c r="AQ166" s="10">
        <f t="shared" si="31"/>
        <v>0</v>
      </c>
      <c r="AR166" s="10">
        <f t="shared" si="32"/>
        <v>0</v>
      </c>
      <c r="AS166" s="10">
        <f t="shared" si="33"/>
        <v>0</v>
      </c>
      <c r="AT166" s="10">
        <f t="shared" si="34"/>
        <v>0</v>
      </c>
      <c r="AU166" s="10">
        <f t="shared" si="35"/>
        <v>0</v>
      </c>
      <c r="AV166" s="10">
        <f t="shared" si="36"/>
        <v>0</v>
      </c>
      <c r="AW166" s="10">
        <f t="shared" si="37"/>
        <v>0</v>
      </c>
      <c r="AX166" s="10">
        <f t="shared" si="38"/>
        <v>0</v>
      </c>
    </row>
    <row r="167" spans="1:50" x14ac:dyDescent="0.2">
      <c r="A167" s="8">
        <v>17100</v>
      </c>
      <c r="B167" s="89" t="str">
        <f t="shared" si="39"/>
        <v>Strathfield</v>
      </c>
      <c r="C167" s="9">
        <f t="shared" si="10"/>
        <v>0</v>
      </c>
      <c r="D167" s="51" t="str">
        <f t="shared" si="11"/>
        <v>S</v>
      </c>
      <c r="E167" s="10">
        <f t="shared" si="40"/>
        <v>0</v>
      </c>
      <c r="F167" s="10">
        <f t="shared" si="41"/>
        <v>47767</v>
      </c>
      <c r="G167" s="10">
        <f t="shared" si="42"/>
        <v>16350</v>
      </c>
      <c r="H167" s="10">
        <f t="shared" si="43"/>
        <v>2.9215290519877675</v>
      </c>
      <c r="I167" s="10">
        <f t="shared" si="44"/>
        <v>14</v>
      </c>
      <c r="J167" s="10">
        <f t="shared" si="45"/>
        <v>3411.7</v>
      </c>
      <c r="K167" s="10">
        <f t="shared" si="46"/>
        <v>760</v>
      </c>
      <c r="L167" s="10" t="str">
        <f t="shared" si="47"/>
        <v>Y</v>
      </c>
      <c r="M167" s="10">
        <f t="shared" si="48"/>
        <v>16052</v>
      </c>
      <c r="N167" s="10">
        <f t="shared" si="49"/>
        <v>16052</v>
      </c>
      <c r="O167" s="10">
        <f t="shared" si="50"/>
        <v>6589</v>
      </c>
      <c r="P167" s="10">
        <f t="shared" si="51"/>
        <v>0</v>
      </c>
      <c r="Q167" s="10">
        <f t="shared" si="52"/>
        <v>16350</v>
      </c>
      <c r="R167" s="10" t="str">
        <f t="shared" si="53"/>
        <v>Yes</v>
      </c>
      <c r="S167" s="10">
        <f t="shared" si="54"/>
        <v>0</v>
      </c>
      <c r="T167" s="10">
        <f t="shared" si="55"/>
        <v>0</v>
      </c>
      <c r="U167" s="10">
        <f t="shared" si="56"/>
        <v>0</v>
      </c>
      <c r="V167" s="10">
        <f t="shared" si="57"/>
        <v>0</v>
      </c>
      <c r="W167" s="10">
        <f t="shared" si="58"/>
        <v>0</v>
      </c>
      <c r="X167" s="10">
        <f t="shared" si="12"/>
        <v>0</v>
      </c>
      <c r="Y167" s="10">
        <f t="shared" si="13"/>
        <v>0</v>
      </c>
      <c r="Z167" s="10">
        <f t="shared" si="14"/>
        <v>0</v>
      </c>
      <c r="AA167" s="10">
        <f t="shared" si="15"/>
        <v>0</v>
      </c>
      <c r="AB167" s="10">
        <f t="shared" si="16"/>
        <v>0</v>
      </c>
      <c r="AC167" s="10">
        <f t="shared" si="17"/>
        <v>0</v>
      </c>
      <c r="AD167" s="10">
        <f t="shared" si="18"/>
        <v>0</v>
      </c>
      <c r="AE167" s="10">
        <f t="shared" si="19"/>
        <v>0</v>
      </c>
      <c r="AF167" s="10">
        <f t="shared" si="20"/>
        <v>0</v>
      </c>
      <c r="AG167" s="10">
        <f t="shared" si="21"/>
        <v>0</v>
      </c>
      <c r="AH167" s="10">
        <f t="shared" si="22"/>
        <v>0</v>
      </c>
      <c r="AI167" s="10">
        <f t="shared" si="23"/>
        <v>0</v>
      </c>
      <c r="AJ167" s="10">
        <f t="shared" si="24"/>
        <v>0</v>
      </c>
      <c r="AK167" s="10">
        <f t="shared" si="25"/>
        <v>0</v>
      </c>
      <c r="AL167" s="10">
        <f t="shared" si="26"/>
        <v>0</v>
      </c>
      <c r="AM167" s="10">
        <f t="shared" si="27"/>
        <v>0</v>
      </c>
      <c r="AN167" s="46">
        <f t="shared" si="28"/>
        <v>0</v>
      </c>
      <c r="AO167" s="10">
        <f t="shared" si="29"/>
        <v>0</v>
      </c>
      <c r="AP167" s="10">
        <f t="shared" si="30"/>
        <v>0</v>
      </c>
      <c r="AQ167" s="10">
        <f t="shared" si="31"/>
        <v>0</v>
      </c>
      <c r="AR167" s="10">
        <f t="shared" si="32"/>
        <v>0</v>
      </c>
      <c r="AS167" s="10">
        <f t="shared" si="33"/>
        <v>0</v>
      </c>
      <c r="AT167" s="10">
        <f t="shared" si="34"/>
        <v>0</v>
      </c>
      <c r="AU167" s="10">
        <f t="shared" si="35"/>
        <v>0</v>
      </c>
      <c r="AV167" s="10">
        <f t="shared" si="36"/>
        <v>0</v>
      </c>
      <c r="AW167" s="10">
        <f t="shared" si="37"/>
        <v>0</v>
      </c>
      <c r="AX167" s="10">
        <f t="shared" si="38"/>
        <v>0</v>
      </c>
    </row>
    <row r="168" spans="1:50" x14ac:dyDescent="0.2">
      <c r="A168" s="8">
        <v>17150</v>
      </c>
      <c r="B168" s="89" t="str">
        <f t="shared" si="39"/>
        <v>Sutherland Shire</v>
      </c>
      <c r="C168" s="9" t="str">
        <f t="shared" si="10"/>
        <v>SSROC</v>
      </c>
      <c r="D168" s="51" t="str">
        <f t="shared" si="11"/>
        <v>S</v>
      </c>
      <c r="E168" s="10">
        <f t="shared" si="40"/>
        <v>0</v>
      </c>
      <c r="F168" s="10">
        <f t="shared" si="41"/>
        <v>232369</v>
      </c>
      <c r="G168" s="10">
        <f t="shared" si="42"/>
        <v>87888</v>
      </c>
      <c r="H168" s="10">
        <f t="shared" si="43"/>
        <v>2.6439218095758239</v>
      </c>
      <c r="I168" s="10">
        <f t="shared" si="44"/>
        <v>333.6</v>
      </c>
      <c r="J168" s="10">
        <f t="shared" si="45"/>
        <v>696.6</v>
      </c>
      <c r="K168" s="10">
        <f t="shared" si="46"/>
        <v>456.3</v>
      </c>
      <c r="L168" s="10" t="str">
        <f t="shared" si="47"/>
        <v>Y</v>
      </c>
      <c r="M168" s="10">
        <f t="shared" si="48"/>
        <v>87150</v>
      </c>
      <c r="N168" s="10">
        <f t="shared" si="49"/>
        <v>85226</v>
      </c>
      <c r="O168" s="10">
        <f t="shared" si="50"/>
        <v>85226</v>
      </c>
      <c r="P168" s="10">
        <f t="shared" si="51"/>
        <v>0</v>
      </c>
      <c r="Q168" s="10">
        <f t="shared" si="52"/>
        <v>87888</v>
      </c>
      <c r="R168" s="10" t="str">
        <f t="shared" si="53"/>
        <v>Yes</v>
      </c>
      <c r="S168" s="10">
        <f t="shared" si="54"/>
        <v>0</v>
      </c>
      <c r="T168" s="10">
        <f t="shared" si="55"/>
        <v>0</v>
      </c>
      <c r="U168" s="10">
        <f t="shared" si="56"/>
        <v>0</v>
      </c>
      <c r="V168" s="10">
        <f t="shared" si="57"/>
        <v>0</v>
      </c>
      <c r="W168" s="10">
        <f t="shared" si="58"/>
        <v>0</v>
      </c>
      <c r="X168" s="10">
        <f t="shared" si="12"/>
        <v>0</v>
      </c>
      <c r="Y168" s="10">
        <f t="shared" si="13"/>
        <v>0</v>
      </c>
      <c r="Z168" s="10">
        <f t="shared" si="14"/>
        <v>0</v>
      </c>
      <c r="AA168" s="10">
        <f t="shared" si="15"/>
        <v>0</v>
      </c>
      <c r="AB168" s="10">
        <f t="shared" si="16"/>
        <v>0</v>
      </c>
      <c r="AC168" s="10">
        <f t="shared" si="17"/>
        <v>0</v>
      </c>
      <c r="AD168" s="10">
        <f t="shared" si="18"/>
        <v>0</v>
      </c>
      <c r="AE168" s="10">
        <f t="shared" si="19"/>
        <v>0</v>
      </c>
      <c r="AF168" s="10">
        <f t="shared" si="20"/>
        <v>0</v>
      </c>
      <c r="AG168" s="10">
        <f t="shared" si="21"/>
        <v>0</v>
      </c>
      <c r="AH168" s="10">
        <f t="shared" si="22"/>
        <v>0</v>
      </c>
      <c r="AI168" s="10">
        <f t="shared" si="23"/>
        <v>0</v>
      </c>
      <c r="AJ168" s="10">
        <f t="shared" si="24"/>
        <v>0</v>
      </c>
      <c r="AK168" s="10">
        <f t="shared" si="25"/>
        <v>0</v>
      </c>
      <c r="AL168" s="10">
        <f t="shared" si="26"/>
        <v>0</v>
      </c>
      <c r="AM168" s="10">
        <f t="shared" si="27"/>
        <v>0</v>
      </c>
      <c r="AN168" s="46">
        <f t="shared" si="28"/>
        <v>0</v>
      </c>
      <c r="AO168" s="10">
        <f t="shared" si="29"/>
        <v>0</v>
      </c>
      <c r="AP168" s="10">
        <f t="shared" si="30"/>
        <v>0</v>
      </c>
      <c r="AQ168" s="10">
        <f t="shared" si="31"/>
        <v>0</v>
      </c>
      <c r="AR168" s="10">
        <f t="shared" si="32"/>
        <v>0</v>
      </c>
      <c r="AS168" s="10">
        <f t="shared" si="33"/>
        <v>0</v>
      </c>
      <c r="AT168" s="10">
        <f t="shared" si="34"/>
        <v>0</v>
      </c>
      <c r="AU168" s="10">
        <f t="shared" si="35"/>
        <v>0</v>
      </c>
      <c r="AV168" s="10">
        <f t="shared" si="36"/>
        <v>0</v>
      </c>
      <c r="AW168" s="10">
        <f t="shared" si="37"/>
        <v>0</v>
      </c>
      <c r="AX168" s="10">
        <f t="shared" si="38"/>
        <v>0</v>
      </c>
    </row>
    <row r="169" spans="1:50" x14ac:dyDescent="0.2">
      <c r="A169" s="8">
        <v>17200</v>
      </c>
      <c r="B169" s="89" t="str">
        <f t="shared" si="39"/>
        <v>Sydney</v>
      </c>
      <c r="C169" s="9" t="str">
        <f t="shared" si="10"/>
        <v>SSROC</v>
      </c>
      <c r="D169" s="51" t="str">
        <f t="shared" si="11"/>
        <v>S</v>
      </c>
      <c r="E169" s="10">
        <f t="shared" si="40"/>
        <v>0</v>
      </c>
      <c r="F169" s="10">
        <f t="shared" si="41"/>
        <v>248736</v>
      </c>
      <c r="G169" s="10">
        <f t="shared" si="42"/>
        <v>130963</v>
      </c>
      <c r="H169" s="10">
        <f t="shared" si="43"/>
        <v>1.899284530745325</v>
      </c>
      <c r="I169" s="10">
        <f t="shared" si="44"/>
        <v>26.7</v>
      </c>
      <c r="J169" s="10">
        <f t="shared" si="45"/>
        <v>9301</v>
      </c>
      <c r="K169" s="10">
        <f t="shared" si="46"/>
        <v>372</v>
      </c>
      <c r="L169" s="10" t="str">
        <f t="shared" si="47"/>
        <v>Y</v>
      </c>
      <c r="M169" s="10">
        <f t="shared" si="48"/>
        <v>37539</v>
      </c>
      <c r="N169" s="10">
        <f t="shared" si="49"/>
        <v>40147</v>
      </c>
      <c r="O169" s="10">
        <f t="shared" si="50"/>
        <v>8134</v>
      </c>
      <c r="P169" s="10">
        <f t="shared" si="51"/>
        <v>0</v>
      </c>
      <c r="Q169" s="10">
        <f t="shared" si="52"/>
        <v>130963</v>
      </c>
      <c r="R169" s="10" t="str">
        <f t="shared" si="53"/>
        <v>Yes</v>
      </c>
      <c r="S169" s="10">
        <f t="shared" si="54"/>
        <v>0</v>
      </c>
      <c r="T169" s="10">
        <f t="shared" si="55"/>
        <v>0</v>
      </c>
      <c r="U169" s="10">
        <f t="shared" si="56"/>
        <v>0</v>
      </c>
      <c r="V169" s="10">
        <f t="shared" si="57"/>
        <v>0</v>
      </c>
      <c r="W169" s="10">
        <f t="shared" si="58"/>
        <v>0</v>
      </c>
      <c r="X169" s="10">
        <f t="shared" si="12"/>
        <v>0</v>
      </c>
      <c r="Y169" s="10">
        <f t="shared" si="13"/>
        <v>0</v>
      </c>
      <c r="Z169" s="10">
        <f t="shared" si="14"/>
        <v>0</v>
      </c>
      <c r="AA169" s="10">
        <f t="shared" si="15"/>
        <v>0</v>
      </c>
      <c r="AB169" s="10">
        <f t="shared" si="16"/>
        <v>0</v>
      </c>
      <c r="AC169" s="10">
        <f t="shared" si="17"/>
        <v>0</v>
      </c>
      <c r="AD169" s="10">
        <f t="shared" si="18"/>
        <v>0</v>
      </c>
      <c r="AE169" s="10">
        <f t="shared" si="19"/>
        <v>0</v>
      </c>
      <c r="AF169" s="10">
        <f t="shared" si="20"/>
        <v>0</v>
      </c>
      <c r="AG169" s="10">
        <f t="shared" si="21"/>
        <v>0</v>
      </c>
      <c r="AH169" s="10">
        <f t="shared" si="22"/>
        <v>0</v>
      </c>
      <c r="AI169" s="10">
        <f t="shared" si="23"/>
        <v>0</v>
      </c>
      <c r="AJ169" s="10">
        <f t="shared" si="24"/>
        <v>0</v>
      </c>
      <c r="AK169" s="10">
        <f t="shared" si="25"/>
        <v>0</v>
      </c>
      <c r="AL169" s="10">
        <f t="shared" si="26"/>
        <v>0</v>
      </c>
      <c r="AM169" s="10">
        <f t="shared" si="27"/>
        <v>0</v>
      </c>
      <c r="AN169" s="46">
        <f t="shared" si="28"/>
        <v>0</v>
      </c>
      <c r="AO169" s="10">
        <f t="shared" si="29"/>
        <v>0</v>
      </c>
      <c r="AP169" s="10">
        <f t="shared" si="30"/>
        <v>0</v>
      </c>
      <c r="AQ169" s="10">
        <f t="shared" si="31"/>
        <v>0</v>
      </c>
      <c r="AR169" s="10">
        <f t="shared" si="32"/>
        <v>0</v>
      </c>
      <c r="AS169" s="10">
        <f t="shared" si="33"/>
        <v>0</v>
      </c>
      <c r="AT169" s="10">
        <f t="shared" si="34"/>
        <v>0</v>
      </c>
      <c r="AU169" s="10">
        <f t="shared" si="35"/>
        <v>0</v>
      </c>
      <c r="AV169" s="10">
        <f t="shared" si="36"/>
        <v>0</v>
      </c>
      <c r="AW169" s="10">
        <f t="shared" si="37"/>
        <v>0</v>
      </c>
      <c r="AX169" s="10">
        <f t="shared" si="38"/>
        <v>0</v>
      </c>
    </row>
    <row r="170" spans="1:50" x14ac:dyDescent="0.2">
      <c r="A170" s="8">
        <v>17420</v>
      </c>
      <c r="B170" s="89" t="str">
        <f t="shared" si="39"/>
        <v>The Hills Shire</v>
      </c>
      <c r="C170" s="9" t="str">
        <f t="shared" si="10"/>
        <v>WSROC</v>
      </c>
      <c r="D170" s="51" t="str">
        <f t="shared" si="11"/>
        <v>S</v>
      </c>
      <c r="E170" s="10">
        <f t="shared" si="40"/>
        <v>0</v>
      </c>
      <c r="F170" s="10">
        <f t="shared" si="41"/>
        <v>183791</v>
      </c>
      <c r="G170" s="10">
        <f t="shared" si="42"/>
        <v>68021</v>
      </c>
      <c r="H170" s="10">
        <f t="shared" si="43"/>
        <v>2.7019743902618307</v>
      </c>
      <c r="I170" s="10">
        <f t="shared" si="44"/>
        <v>386.2</v>
      </c>
      <c r="J170" s="10">
        <f t="shared" si="45"/>
        <v>475.9</v>
      </c>
      <c r="K170" s="10">
        <f t="shared" si="46"/>
        <v>425</v>
      </c>
      <c r="L170" s="10" t="str">
        <f t="shared" si="47"/>
        <v>Y</v>
      </c>
      <c r="M170" s="10">
        <f t="shared" si="48"/>
        <v>55868</v>
      </c>
      <c r="N170" s="10">
        <f t="shared" si="49"/>
        <v>54620</v>
      </c>
      <c r="O170" s="10">
        <f t="shared" si="50"/>
        <v>54862</v>
      </c>
      <c r="P170" s="10">
        <f t="shared" si="51"/>
        <v>0</v>
      </c>
      <c r="Q170" s="10">
        <f t="shared" si="52"/>
        <v>68021</v>
      </c>
      <c r="R170" s="10" t="str">
        <f t="shared" si="53"/>
        <v>Yes</v>
      </c>
      <c r="S170" s="10">
        <f t="shared" si="54"/>
        <v>0</v>
      </c>
      <c r="T170" s="10">
        <f t="shared" si="55"/>
        <v>0</v>
      </c>
      <c r="U170" s="10">
        <f t="shared" si="56"/>
        <v>0</v>
      </c>
      <c r="V170" s="10">
        <f t="shared" si="57"/>
        <v>0</v>
      </c>
      <c r="W170" s="10">
        <f t="shared" si="58"/>
        <v>0</v>
      </c>
      <c r="X170" s="10">
        <f t="shared" si="12"/>
        <v>0</v>
      </c>
      <c r="Y170" s="10">
        <f t="shared" si="13"/>
        <v>0</v>
      </c>
      <c r="Z170" s="10">
        <f t="shared" si="14"/>
        <v>0</v>
      </c>
      <c r="AA170" s="10">
        <f t="shared" si="15"/>
        <v>0</v>
      </c>
      <c r="AB170" s="10">
        <f t="shared" si="16"/>
        <v>0</v>
      </c>
      <c r="AC170" s="10">
        <f t="shared" si="17"/>
        <v>0</v>
      </c>
      <c r="AD170" s="10">
        <f t="shared" si="18"/>
        <v>0</v>
      </c>
      <c r="AE170" s="10">
        <f t="shared" si="19"/>
        <v>0</v>
      </c>
      <c r="AF170" s="10">
        <f t="shared" si="20"/>
        <v>0</v>
      </c>
      <c r="AG170" s="10">
        <f t="shared" si="21"/>
        <v>0</v>
      </c>
      <c r="AH170" s="10">
        <f t="shared" si="22"/>
        <v>0</v>
      </c>
      <c r="AI170" s="10">
        <f t="shared" si="23"/>
        <v>0</v>
      </c>
      <c r="AJ170" s="10">
        <f t="shared" si="24"/>
        <v>0</v>
      </c>
      <c r="AK170" s="10">
        <f t="shared" si="25"/>
        <v>0</v>
      </c>
      <c r="AL170" s="10">
        <f t="shared" si="26"/>
        <v>0</v>
      </c>
      <c r="AM170" s="10">
        <f t="shared" si="27"/>
        <v>0</v>
      </c>
      <c r="AN170" s="46">
        <f t="shared" si="28"/>
        <v>0</v>
      </c>
      <c r="AO170" s="10">
        <f t="shared" si="29"/>
        <v>0</v>
      </c>
      <c r="AP170" s="10">
        <f t="shared" si="30"/>
        <v>0</v>
      </c>
      <c r="AQ170" s="10">
        <f t="shared" si="31"/>
        <v>0</v>
      </c>
      <c r="AR170" s="10">
        <f t="shared" si="32"/>
        <v>0</v>
      </c>
      <c r="AS170" s="10">
        <f t="shared" si="33"/>
        <v>0</v>
      </c>
      <c r="AT170" s="10">
        <f t="shared" si="34"/>
        <v>0</v>
      </c>
      <c r="AU170" s="10">
        <f t="shared" si="35"/>
        <v>0</v>
      </c>
      <c r="AV170" s="10">
        <f t="shared" si="36"/>
        <v>0</v>
      </c>
      <c r="AW170" s="10">
        <f t="shared" si="37"/>
        <v>0</v>
      </c>
      <c r="AX170" s="10">
        <f t="shared" si="38"/>
        <v>0</v>
      </c>
    </row>
    <row r="171" spans="1:50" x14ac:dyDescent="0.2">
      <c r="A171" s="8">
        <v>18050</v>
      </c>
      <c r="B171" s="89" t="str">
        <f t="shared" si="39"/>
        <v>Waverley</v>
      </c>
      <c r="C171" s="9" t="str">
        <f t="shared" si="10"/>
        <v>SSROC</v>
      </c>
      <c r="D171" s="51" t="str">
        <f t="shared" si="11"/>
        <v>S</v>
      </c>
      <c r="E171" s="10">
        <f t="shared" si="40"/>
        <v>0</v>
      </c>
      <c r="F171" s="10">
        <f t="shared" si="41"/>
        <v>74276</v>
      </c>
      <c r="G171" s="10">
        <f t="shared" si="42"/>
        <v>29754</v>
      </c>
      <c r="H171" s="10">
        <f t="shared" si="43"/>
        <v>2.4963366270081333</v>
      </c>
      <c r="I171" s="10">
        <f t="shared" si="44"/>
        <v>9.4</v>
      </c>
      <c r="J171" s="10">
        <f t="shared" si="45"/>
        <v>7943.4</v>
      </c>
      <c r="K171" s="10">
        <f t="shared" si="46"/>
        <v>576</v>
      </c>
      <c r="L171" s="10" t="str">
        <f t="shared" si="47"/>
        <v>Y</v>
      </c>
      <c r="M171" s="10">
        <f t="shared" si="48"/>
        <v>29748</v>
      </c>
      <c r="N171" s="10">
        <f t="shared" si="49"/>
        <v>29754</v>
      </c>
      <c r="O171" s="10">
        <f t="shared" si="50"/>
        <v>29748</v>
      </c>
      <c r="P171" s="10">
        <f t="shared" si="51"/>
        <v>0</v>
      </c>
      <c r="Q171" s="10">
        <f t="shared" si="52"/>
        <v>29754</v>
      </c>
      <c r="R171" s="10" t="str">
        <f t="shared" si="53"/>
        <v>Yes</v>
      </c>
      <c r="S171" s="10">
        <f t="shared" si="54"/>
        <v>0</v>
      </c>
      <c r="T171" s="10">
        <f t="shared" si="55"/>
        <v>0</v>
      </c>
      <c r="U171" s="10">
        <f t="shared" si="56"/>
        <v>0</v>
      </c>
      <c r="V171" s="10">
        <f t="shared" si="57"/>
        <v>0</v>
      </c>
      <c r="W171" s="10">
        <f t="shared" si="58"/>
        <v>0</v>
      </c>
      <c r="X171" s="10">
        <f t="shared" si="12"/>
        <v>0</v>
      </c>
      <c r="Y171" s="10">
        <f t="shared" si="13"/>
        <v>0</v>
      </c>
      <c r="Z171" s="10">
        <f t="shared" si="14"/>
        <v>0</v>
      </c>
      <c r="AA171" s="10">
        <f t="shared" si="15"/>
        <v>0</v>
      </c>
      <c r="AB171" s="10">
        <f t="shared" si="16"/>
        <v>0</v>
      </c>
      <c r="AC171" s="10">
        <f t="shared" si="17"/>
        <v>0</v>
      </c>
      <c r="AD171" s="10">
        <f t="shared" si="18"/>
        <v>0</v>
      </c>
      <c r="AE171" s="10">
        <f t="shared" si="19"/>
        <v>0</v>
      </c>
      <c r="AF171" s="10">
        <f t="shared" si="20"/>
        <v>0</v>
      </c>
      <c r="AG171" s="10">
        <f t="shared" si="21"/>
        <v>0</v>
      </c>
      <c r="AH171" s="10">
        <f t="shared" si="22"/>
        <v>0</v>
      </c>
      <c r="AI171" s="10">
        <f t="shared" si="23"/>
        <v>0</v>
      </c>
      <c r="AJ171" s="10">
        <f t="shared" si="24"/>
        <v>0</v>
      </c>
      <c r="AK171" s="10">
        <f t="shared" si="25"/>
        <v>0</v>
      </c>
      <c r="AL171" s="10">
        <f t="shared" si="26"/>
        <v>0</v>
      </c>
      <c r="AM171" s="10">
        <f t="shared" si="27"/>
        <v>0</v>
      </c>
      <c r="AN171" s="46">
        <f t="shared" si="28"/>
        <v>0</v>
      </c>
      <c r="AO171" s="10">
        <f t="shared" si="29"/>
        <v>0</v>
      </c>
      <c r="AP171" s="10">
        <f t="shared" si="30"/>
        <v>0</v>
      </c>
      <c r="AQ171" s="10">
        <f t="shared" si="31"/>
        <v>0</v>
      </c>
      <c r="AR171" s="10">
        <f t="shared" si="32"/>
        <v>0</v>
      </c>
      <c r="AS171" s="10">
        <f t="shared" si="33"/>
        <v>0</v>
      </c>
      <c r="AT171" s="10">
        <f t="shared" si="34"/>
        <v>0</v>
      </c>
      <c r="AU171" s="10">
        <f t="shared" si="35"/>
        <v>0</v>
      </c>
      <c r="AV171" s="10">
        <f t="shared" si="36"/>
        <v>0</v>
      </c>
      <c r="AW171" s="10">
        <f t="shared" si="37"/>
        <v>0</v>
      </c>
      <c r="AX171" s="10">
        <f t="shared" si="38"/>
        <v>0</v>
      </c>
    </row>
    <row r="172" spans="1:50" x14ac:dyDescent="0.2">
      <c r="A172" s="8">
        <v>18250</v>
      </c>
      <c r="B172" s="89" t="str">
        <f t="shared" si="39"/>
        <v>Willoughby</v>
      </c>
      <c r="C172" s="9" t="str">
        <f t="shared" si="10"/>
        <v>NSROC</v>
      </c>
      <c r="D172" s="51" t="str">
        <f t="shared" si="11"/>
        <v>S</v>
      </c>
      <c r="E172" s="10">
        <f t="shared" si="40"/>
        <v>0</v>
      </c>
      <c r="F172" s="10">
        <f t="shared" si="41"/>
        <v>81196</v>
      </c>
      <c r="G172" s="10">
        <f t="shared" si="42"/>
        <v>32319</v>
      </c>
      <c r="H172" s="10">
        <f t="shared" si="43"/>
        <v>2.5123302082366408</v>
      </c>
      <c r="I172" s="10">
        <f t="shared" si="44"/>
        <v>22.4</v>
      </c>
      <c r="J172" s="10">
        <f t="shared" si="45"/>
        <v>3620.7</v>
      </c>
      <c r="K172" s="10">
        <f t="shared" si="46"/>
        <v>530</v>
      </c>
      <c r="L172" s="10" t="str">
        <f t="shared" si="47"/>
        <v>Y</v>
      </c>
      <c r="M172" s="10">
        <f t="shared" si="48"/>
        <v>29827</v>
      </c>
      <c r="N172" s="10">
        <f t="shared" si="49"/>
        <v>32319</v>
      </c>
      <c r="O172" s="10">
        <f t="shared" si="50"/>
        <v>13356</v>
      </c>
      <c r="P172" s="10">
        <f t="shared" si="51"/>
        <v>0</v>
      </c>
      <c r="Q172" s="10">
        <f t="shared" si="52"/>
        <v>32319</v>
      </c>
      <c r="R172" s="10" t="str">
        <f t="shared" si="53"/>
        <v>No</v>
      </c>
      <c r="S172" s="10" t="str">
        <f t="shared" si="54"/>
        <v>Northern Sydney Community Recycling Centre- Artarmon</v>
      </c>
      <c r="T172" s="10">
        <f t="shared" si="55"/>
        <v>0</v>
      </c>
      <c r="U172" s="10">
        <f t="shared" si="56"/>
        <v>0</v>
      </c>
      <c r="V172" s="10">
        <f t="shared" si="57"/>
        <v>0</v>
      </c>
      <c r="W172" s="10">
        <f t="shared" si="58"/>
        <v>0</v>
      </c>
      <c r="X172" s="10">
        <f t="shared" si="12"/>
        <v>0</v>
      </c>
      <c r="Y172" s="10">
        <f t="shared" si="13"/>
        <v>0</v>
      </c>
      <c r="Z172" s="10">
        <f t="shared" si="14"/>
        <v>0</v>
      </c>
      <c r="AA172" s="10">
        <f t="shared" si="15"/>
        <v>0</v>
      </c>
      <c r="AB172" s="10">
        <f t="shared" si="16"/>
        <v>0</v>
      </c>
      <c r="AC172" s="10">
        <f t="shared" si="17"/>
        <v>0</v>
      </c>
      <c r="AD172" s="10">
        <f t="shared" si="18"/>
        <v>0</v>
      </c>
      <c r="AE172" s="10">
        <f t="shared" si="19"/>
        <v>0</v>
      </c>
      <c r="AF172" s="10">
        <f t="shared" si="20"/>
        <v>0</v>
      </c>
      <c r="AG172" s="10">
        <f t="shared" si="21"/>
        <v>0</v>
      </c>
      <c r="AH172" s="10">
        <f t="shared" si="22"/>
        <v>0</v>
      </c>
      <c r="AI172" s="10">
        <f t="shared" si="23"/>
        <v>0</v>
      </c>
      <c r="AJ172" s="10">
        <f t="shared" si="24"/>
        <v>0</v>
      </c>
      <c r="AK172" s="10">
        <f t="shared" si="25"/>
        <v>0</v>
      </c>
      <c r="AL172" s="10">
        <f t="shared" si="26"/>
        <v>0</v>
      </c>
      <c r="AM172" s="10">
        <f t="shared" si="27"/>
        <v>0</v>
      </c>
      <c r="AN172" s="46">
        <f t="shared" si="28"/>
        <v>0</v>
      </c>
      <c r="AO172" s="10">
        <f t="shared" si="29"/>
        <v>0</v>
      </c>
      <c r="AP172" s="10">
        <f t="shared" si="30"/>
        <v>0</v>
      </c>
      <c r="AQ172" s="10">
        <f t="shared" si="31"/>
        <v>0</v>
      </c>
      <c r="AR172" s="10">
        <f t="shared" si="32"/>
        <v>0</v>
      </c>
      <c r="AS172" s="10">
        <f t="shared" si="33"/>
        <v>0</v>
      </c>
      <c r="AT172" s="10">
        <f t="shared" si="34"/>
        <v>0</v>
      </c>
      <c r="AU172" s="10">
        <f t="shared" si="35"/>
        <v>0</v>
      </c>
      <c r="AV172" s="10">
        <f t="shared" si="36"/>
        <v>0</v>
      </c>
      <c r="AW172" s="10">
        <f t="shared" si="37"/>
        <v>0</v>
      </c>
      <c r="AX172" s="10">
        <f t="shared" si="38"/>
        <v>0</v>
      </c>
    </row>
    <row r="173" spans="1:50" ht="13.5" thickBot="1" x14ac:dyDescent="0.25">
      <c r="A173" s="8">
        <v>18500</v>
      </c>
      <c r="B173" s="89" t="str">
        <f>VLOOKUP($A173,$A$5:$K$132,2,FALSE)</f>
        <v>Woollahra</v>
      </c>
      <c r="C173" s="9" t="str">
        <f t="shared" si="10"/>
        <v>SSROC</v>
      </c>
      <c r="D173" s="51" t="str">
        <f t="shared" si="11"/>
        <v>S</v>
      </c>
      <c r="E173" s="10">
        <f>VLOOKUP($A173,$A$5:$AX$132,5,FALSE)</f>
        <v>0</v>
      </c>
      <c r="F173" s="10">
        <f>VLOOKUP($A173,$A$5:$AX$132,6,FALSE)</f>
        <v>59431</v>
      </c>
      <c r="G173" s="10">
        <f>VLOOKUP($A173,$A$5:$AX$132,7,FALSE)</f>
        <v>26397</v>
      </c>
      <c r="H173" s="10">
        <f>VLOOKUP($A173,$A$5:$AX$132,8,FALSE)</f>
        <v>2.2514300867522823</v>
      </c>
      <c r="I173" s="10">
        <f>VLOOKUP($A173,$A$5:$AX$132,9,FALSE)</f>
        <v>12.3</v>
      </c>
      <c r="J173" s="10">
        <f>VLOOKUP($A173,$A$5:$AX$132,10,FALSE)</f>
        <v>4840.6000000000004</v>
      </c>
      <c r="K173" s="10">
        <f>VLOOKUP($A173,$A$5:$AX$132,11,FALSE)</f>
        <v>536.65</v>
      </c>
      <c r="L173" s="10" t="str">
        <f>VLOOKUP($A173,$A$4:$AX$132,12,FALSE)</f>
        <v>Y</v>
      </c>
      <c r="M173" s="10">
        <f>VLOOKUP($A173,$A$4:$AX$132,13,FALSE)</f>
        <v>26397</v>
      </c>
      <c r="N173" s="10">
        <f>VLOOKUP($A173,$A$4:$AX$132,14,FALSE)</f>
        <v>10811</v>
      </c>
      <c r="O173" s="10">
        <f>VLOOKUP($A173,$A$4:$AX$132,15,FALSE)</f>
        <v>0</v>
      </c>
      <c r="P173" s="10">
        <f>VLOOKUP($A173,$A$4:$AX$132,16,FALSE)</f>
        <v>26397</v>
      </c>
      <c r="Q173" s="10">
        <f>VLOOKUP($A173,$A$4:$AX$132,17,FALSE)</f>
        <v>26397</v>
      </c>
      <c r="R173" s="10" t="str">
        <f>VLOOKUP($A173,$A$4:$AX$132,18,FALSE)</f>
        <v>No</v>
      </c>
      <c r="S173" s="10">
        <f>VLOOKUP($A173,$A$4:$AX$132,19,FALSE)</f>
        <v>0</v>
      </c>
      <c r="T173" s="10">
        <f>VLOOKUP($A173,$A$4:$AX$132,20,FALSE)</f>
        <v>0</v>
      </c>
      <c r="U173" s="10">
        <f>VLOOKUP($A173,$A$4:$AX$132,21,FALSE)</f>
        <v>0</v>
      </c>
      <c r="V173" s="10">
        <f>VLOOKUP($A173,$A$4:$AX$132,22,FALSE)</f>
        <v>0</v>
      </c>
      <c r="W173" s="10">
        <f>VLOOKUP($A173,$A$4:$AX$132,23,FALSE)</f>
        <v>0</v>
      </c>
      <c r="X173" s="10">
        <f t="shared" si="12"/>
        <v>0</v>
      </c>
      <c r="Y173" s="10">
        <f t="shared" si="13"/>
        <v>0</v>
      </c>
      <c r="Z173" s="10">
        <f t="shared" si="14"/>
        <v>0</v>
      </c>
      <c r="AA173" s="10">
        <f t="shared" si="15"/>
        <v>0</v>
      </c>
      <c r="AB173" s="10">
        <f t="shared" si="16"/>
        <v>0</v>
      </c>
      <c r="AC173" s="10">
        <f t="shared" si="17"/>
        <v>0</v>
      </c>
      <c r="AD173" s="10">
        <f t="shared" si="18"/>
        <v>0</v>
      </c>
      <c r="AE173" s="10">
        <f t="shared" si="19"/>
        <v>0</v>
      </c>
      <c r="AF173" s="10">
        <f t="shared" si="20"/>
        <v>0</v>
      </c>
      <c r="AG173" s="10">
        <f t="shared" si="21"/>
        <v>0</v>
      </c>
      <c r="AH173" s="10">
        <f t="shared" si="22"/>
        <v>0</v>
      </c>
      <c r="AI173" s="10">
        <f t="shared" si="23"/>
        <v>0</v>
      </c>
      <c r="AJ173" s="10">
        <f t="shared" si="24"/>
        <v>0</v>
      </c>
      <c r="AK173" s="10">
        <f t="shared" si="25"/>
        <v>0</v>
      </c>
      <c r="AL173" s="10">
        <f t="shared" si="26"/>
        <v>0</v>
      </c>
      <c r="AM173" s="10">
        <f t="shared" si="27"/>
        <v>0</v>
      </c>
      <c r="AN173" s="46">
        <f t="shared" si="28"/>
        <v>0</v>
      </c>
      <c r="AO173" s="10">
        <f t="shared" si="29"/>
        <v>0</v>
      </c>
      <c r="AP173" s="10">
        <f t="shared" si="30"/>
        <v>0</v>
      </c>
      <c r="AQ173" s="10">
        <f t="shared" si="31"/>
        <v>0</v>
      </c>
      <c r="AR173" s="10">
        <f t="shared" si="32"/>
        <v>0</v>
      </c>
      <c r="AS173" s="10">
        <f t="shared" si="33"/>
        <v>0</v>
      </c>
      <c r="AT173" s="10">
        <f t="shared" si="34"/>
        <v>0</v>
      </c>
      <c r="AU173" s="10">
        <f t="shared" si="35"/>
        <v>0</v>
      </c>
      <c r="AV173" s="10">
        <f t="shared" si="36"/>
        <v>0</v>
      </c>
      <c r="AW173" s="10">
        <f t="shared" si="37"/>
        <v>0</v>
      </c>
      <c r="AX173" s="10">
        <f t="shared" si="38"/>
        <v>0</v>
      </c>
    </row>
    <row r="174" spans="1:50" ht="13.5" thickTop="1" x14ac:dyDescent="0.2">
      <c r="A174" s="11"/>
      <c r="B174" s="11"/>
      <c r="C174" s="11" t="s">
        <v>30</v>
      </c>
      <c r="D174" s="11"/>
      <c r="E174" s="12"/>
      <c r="F174" s="13">
        <f t="shared" ref="F174:AW174" si="59">COUNTIF(F144:F173,"&gt;0")</f>
        <v>30</v>
      </c>
      <c r="G174" s="13">
        <f t="shared" si="59"/>
        <v>30</v>
      </c>
      <c r="H174" s="13">
        <f t="shared" si="59"/>
        <v>30</v>
      </c>
      <c r="I174" s="13">
        <f t="shared" si="59"/>
        <v>30</v>
      </c>
      <c r="J174" s="13">
        <f t="shared" si="59"/>
        <v>30</v>
      </c>
      <c r="K174" s="13">
        <f t="shared" si="59"/>
        <v>30</v>
      </c>
      <c r="L174" s="13">
        <f t="shared" si="59"/>
        <v>0</v>
      </c>
      <c r="M174" s="13">
        <f t="shared" si="59"/>
        <v>30</v>
      </c>
      <c r="N174" s="13">
        <f t="shared" si="59"/>
        <v>30</v>
      </c>
      <c r="O174" s="13">
        <f t="shared" si="59"/>
        <v>25</v>
      </c>
      <c r="P174" s="13">
        <f t="shared" si="59"/>
        <v>3</v>
      </c>
      <c r="Q174" s="13">
        <f t="shared" si="59"/>
        <v>30</v>
      </c>
      <c r="R174" s="13">
        <f t="shared" si="59"/>
        <v>0</v>
      </c>
      <c r="S174" s="13">
        <f t="shared" si="59"/>
        <v>0</v>
      </c>
      <c r="T174" s="13">
        <f t="shared" si="59"/>
        <v>0</v>
      </c>
      <c r="U174" s="13">
        <f t="shared" si="59"/>
        <v>0</v>
      </c>
      <c r="V174" s="13">
        <f t="shared" si="59"/>
        <v>0</v>
      </c>
      <c r="W174" s="13">
        <f t="shared" si="59"/>
        <v>0</v>
      </c>
      <c r="X174" s="13">
        <f t="shared" si="59"/>
        <v>0</v>
      </c>
      <c r="Y174" s="13">
        <f t="shared" si="59"/>
        <v>0</v>
      </c>
      <c r="Z174" s="13">
        <f t="shared" si="59"/>
        <v>0</v>
      </c>
      <c r="AA174" s="13">
        <f t="shared" si="59"/>
        <v>0</v>
      </c>
      <c r="AB174" s="13">
        <f t="shared" si="59"/>
        <v>0</v>
      </c>
      <c r="AC174" s="13">
        <f t="shared" si="59"/>
        <v>0</v>
      </c>
      <c r="AD174" s="13">
        <f t="shared" si="59"/>
        <v>0</v>
      </c>
      <c r="AE174" s="13">
        <f t="shared" si="59"/>
        <v>0</v>
      </c>
      <c r="AF174" s="13">
        <f t="shared" si="59"/>
        <v>0</v>
      </c>
      <c r="AG174" s="13">
        <f t="shared" si="59"/>
        <v>0</v>
      </c>
      <c r="AH174" s="13">
        <f t="shared" si="59"/>
        <v>0</v>
      </c>
      <c r="AI174" s="13">
        <f t="shared" si="59"/>
        <v>0</v>
      </c>
      <c r="AJ174" s="13">
        <f t="shared" si="59"/>
        <v>0</v>
      </c>
      <c r="AK174" s="13">
        <f t="shared" si="59"/>
        <v>0</v>
      </c>
      <c r="AL174" s="13">
        <f t="shared" si="59"/>
        <v>0</v>
      </c>
      <c r="AM174" s="44">
        <f t="shared" si="59"/>
        <v>0</v>
      </c>
      <c r="AN174" s="13">
        <f t="shared" si="59"/>
        <v>0</v>
      </c>
      <c r="AO174" s="13">
        <f t="shared" si="59"/>
        <v>0</v>
      </c>
      <c r="AP174" s="13">
        <f t="shared" si="59"/>
        <v>0</v>
      </c>
      <c r="AQ174" s="13">
        <f t="shared" si="59"/>
        <v>0</v>
      </c>
      <c r="AR174" s="13">
        <f t="shared" si="59"/>
        <v>0</v>
      </c>
      <c r="AS174" s="13">
        <f t="shared" si="59"/>
        <v>0</v>
      </c>
      <c r="AT174" s="13">
        <f t="shared" si="59"/>
        <v>0</v>
      </c>
      <c r="AU174" s="13">
        <f t="shared" si="59"/>
        <v>0</v>
      </c>
      <c r="AV174" s="13">
        <f t="shared" si="59"/>
        <v>0</v>
      </c>
      <c r="AW174" s="13">
        <f t="shared" si="59"/>
        <v>0</v>
      </c>
      <c r="AX174" s="13">
        <f>COUNTIF(AX144:AX173,"&gt;0")</f>
        <v>0</v>
      </c>
    </row>
    <row r="175" spans="1:50" x14ac:dyDescent="0.2">
      <c r="A175" s="8"/>
      <c r="B175" s="14" t="s">
        <v>9</v>
      </c>
      <c r="C175" s="8" t="s">
        <v>31</v>
      </c>
      <c r="D175" s="8"/>
      <c r="E175" s="80"/>
      <c r="F175" s="15">
        <f t="shared" ref="F175:AW175" si="60">SUM(F144:F173)</f>
        <v>4820381</v>
      </c>
      <c r="G175" s="15">
        <f t="shared" si="60"/>
        <v>1832610</v>
      </c>
      <c r="H175" s="110">
        <f>F175/G175</f>
        <v>2.6303365145884832</v>
      </c>
      <c r="I175" s="15">
        <f t="shared" si="60"/>
        <v>3692.3999999999996</v>
      </c>
      <c r="J175" s="15">
        <f t="shared" si="60"/>
        <v>98113.199999999983</v>
      </c>
      <c r="K175" s="15">
        <f t="shared" si="60"/>
        <v>14739.979999999998</v>
      </c>
      <c r="L175" s="15">
        <f t="shared" si="60"/>
        <v>0</v>
      </c>
      <c r="M175" s="15">
        <f t="shared" si="60"/>
        <v>1640326</v>
      </c>
      <c r="N175" s="15">
        <f t="shared" si="60"/>
        <v>1606743</v>
      </c>
      <c r="O175" s="15">
        <f t="shared" si="60"/>
        <v>1030543</v>
      </c>
      <c r="P175" s="15">
        <f t="shared" si="60"/>
        <v>152762</v>
      </c>
      <c r="Q175" s="15">
        <f t="shared" si="60"/>
        <v>1832610</v>
      </c>
      <c r="R175" s="15">
        <f t="shared" si="60"/>
        <v>0</v>
      </c>
      <c r="S175" s="15">
        <f t="shared" si="60"/>
        <v>0</v>
      </c>
      <c r="T175" s="15">
        <f t="shared" si="60"/>
        <v>0</v>
      </c>
      <c r="U175" s="15">
        <f t="shared" si="60"/>
        <v>0</v>
      </c>
      <c r="V175" s="15">
        <f t="shared" si="60"/>
        <v>0</v>
      </c>
      <c r="W175" s="15">
        <f t="shared" si="60"/>
        <v>0</v>
      </c>
      <c r="X175" s="15">
        <f t="shared" si="60"/>
        <v>0</v>
      </c>
      <c r="Y175" s="15">
        <f t="shared" si="60"/>
        <v>0</v>
      </c>
      <c r="Z175" s="15">
        <f t="shared" si="60"/>
        <v>0</v>
      </c>
      <c r="AA175" s="15">
        <f t="shared" si="60"/>
        <v>0</v>
      </c>
      <c r="AB175" s="15">
        <f t="shared" si="60"/>
        <v>0</v>
      </c>
      <c r="AC175" s="15">
        <f t="shared" si="60"/>
        <v>0</v>
      </c>
      <c r="AD175" s="15">
        <f t="shared" si="60"/>
        <v>0</v>
      </c>
      <c r="AE175" s="15">
        <f t="shared" si="60"/>
        <v>0</v>
      </c>
      <c r="AF175" s="15">
        <f t="shared" si="60"/>
        <v>0</v>
      </c>
      <c r="AG175" s="15">
        <f t="shared" si="60"/>
        <v>0</v>
      </c>
      <c r="AH175" s="15">
        <f t="shared" si="60"/>
        <v>0</v>
      </c>
      <c r="AI175" s="15">
        <f t="shared" si="60"/>
        <v>0</v>
      </c>
      <c r="AJ175" s="15">
        <f t="shared" si="60"/>
        <v>0</v>
      </c>
      <c r="AK175" s="15">
        <f t="shared" si="60"/>
        <v>0</v>
      </c>
      <c r="AL175" s="15">
        <f t="shared" si="60"/>
        <v>0</v>
      </c>
      <c r="AM175" s="45">
        <f t="shared" si="60"/>
        <v>0</v>
      </c>
      <c r="AN175" s="15">
        <f t="shared" si="60"/>
        <v>0</v>
      </c>
      <c r="AO175" s="15">
        <f t="shared" si="60"/>
        <v>0</v>
      </c>
      <c r="AP175" s="15">
        <f t="shared" si="60"/>
        <v>0</v>
      </c>
      <c r="AQ175" s="15">
        <f t="shared" si="60"/>
        <v>0</v>
      </c>
      <c r="AR175" s="15">
        <f t="shared" si="60"/>
        <v>0</v>
      </c>
      <c r="AS175" s="15">
        <f t="shared" si="60"/>
        <v>0</v>
      </c>
      <c r="AT175" s="15">
        <f t="shared" si="60"/>
        <v>0</v>
      </c>
      <c r="AU175" s="15">
        <f t="shared" si="60"/>
        <v>0</v>
      </c>
      <c r="AV175" s="15">
        <f t="shared" si="60"/>
        <v>0</v>
      </c>
      <c r="AW175" s="15">
        <f t="shared" si="60"/>
        <v>0</v>
      </c>
      <c r="AX175" s="15">
        <f>SUM(AX144:AX173)</f>
        <v>0</v>
      </c>
    </row>
    <row r="176" spans="1:50" x14ac:dyDescent="0.2">
      <c r="A176" s="8"/>
      <c r="B176" s="14"/>
      <c r="C176" s="8" t="s">
        <v>32</v>
      </c>
      <c r="D176" s="8"/>
      <c r="E176" s="80"/>
      <c r="F176" s="10">
        <f t="shared" ref="F176:AW176" si="61">MIN(F144:F173)</f>
        <v>14962</v>
      </c>
      <c r="G176" s="10">
        <f t="shared" si="61"/>
        <v>5237</v>
      </c>
      <c r="H176" s="10">
        <f t="shared" si="61"/>
        <v>1.8448801100628931</v>
      </c>
      <c r="I176" s="10">
        <f t="shared" si="61"/>
        <v>5.7</v>
      </c>
      <c r="J176" s="10">
        <f t="shared" si="61"/>
        <v>335</v>
      </c>
      <c r="K176" s="10">
        <f t="shared" si="61"/>
        <v>357.52</v>
      </c>
      <c r="L176" s="10">
        <f t="shared" si="61"/>
        <v>0</v>
      </c>
      <c r="M176" s="10">
        <f t="shared" si="61"/>
        <v>4926</v>
      </c>
      <c r="N176" s="10">
        <f t="shared" si="61"/>
        <v>4844</v>
      </c>
      <c r="O176" s="10">
        <f t="shared" si="61"/>
        <v>0</v>
      </c>
      <c r="P176" s="10">
        <f t="shared" si="61"/>
        <v>0</v>
      </c>
      <c r="Q176" s="10">
        <f t="shared" si="61"/>
        <v>5237</v>
      </c>
      <c r="R176" s="10">
        <f t="shared" si="61"/>
        <v>0</v>
      </c>
      <c r="S176" s="10">
        <f t="shared" si="61"/>
        <v>0</v>
      </c>
      <c r="T176" s="10">
        <f t="shared" si="61"/>
        <v>0</v>
      </c>
      <c r="U176" s="10">
        <f t="shared" si="61"/>
        <v>0</v>
      </c>
      <c r="V176" s="10">
        <f t="shared" si="61"/>
        <v>0</v>
      </c>
      <c r="W176" s="10">
        <f t="shared" si="61"/>
        <v>0</v>
      </c>
      <c r="X176" s="10">
        <f t="shared" si="61"/>
        <v>0</v>
      </c>
      <c r="Y176" s="10">
        <f t="shared" si="61"/>
        <v>0</v>
      </c>
      <c r="Z176" s="10">
        <f t="shared" si="61"/>
        <v>0</v>
      </c>
      <c r="AA176" s="10">
        <f t="shared" si="61"/>
        <v>0</v>
      </c>
      <c r="AB176" s="10">
        <f t="shared" si="61"/>
        <v>0</v>
      </c>
      <c r="AC176" s="10">
        <f t="shared" si="61"/>
        <v>0</v>
      </c>
      <c r="AD176" s="10">
        <f t="shared" si="61"/>
        <v>0</v>
      </c>
      <c r="AE176" s="10">
        <f t="shared" si="61"/>
        <v>0</v>
      </c>
      <c r="AF176" s="10">
        <f t="shared" si="61"/>
        <v>0</v>
      </c>
      <c r="AG176" s="10">
        <f t="shared" si="61"/>
        <v>0</v>
      </c>
      <c r="AH176" s="10">
        <f t="shared" si="61"/>
        <v>0</v>
      </c>
      <c r="AI176" s="10">
        <f t="shared" si="61"/>
        <v>0</v>
      </c>
      <c r="AJ176" s="10">
        <f t="shared" si="61"/>
        <v>0</v>
      </c>
      <c r="AK176" s="10">
        <f t="shared" si="61"/>
        <v>0</v>
      </c>
      <c r="AL176" s="10">
        <f t="shared" si="61"/>
        <v>0</v>
      </c>
      <c r="AM176" s="46">
        <f t="shared" si="61"/>
        <v>0</v>
      </c>
      <c r="AN176" s="10">
        <f t="shared" si="61"/>
        <v>0</v>
      </c>
      <c r="AO176" s="10">
        <f t="shared" si="61"/>
        <v>0</v>
      </c>
      <c r="AP176" s="10">
        <f t="shared" si="61"/>
        <v>0</v>
      </c>
      <c r="AQ176" s="10">
        <f t="shared" si="61"/>
        <v>0</v>
      </c>
      <c r="AR176" s="10">
        <f t="shared" si="61"/>
        <v>0</v>
      </c>
      <c r="AS176" s="10">
        <f t="shared" si="61"/>
        <v>0</v>
      </c>
      <c r="AT176" s="10">
        <f t="shared" si="61"/>
        <v>0</v>
      </c>
      <c r="AU176" s="10">
        <f t="shared" si="61"/>
        <v>0</v>
      </c>
      <c r="AV176" s="10">
        <f t="shared" si="61"/>
        <v>0</v>
      </c>
      <c r="AW176" s="10">
        <f t="shared" si="61"/>
        <v>0</v>
      </c>
      <c r="AX176" s="10">
        <f>MIN(AX144:AX173)</f>
        <v>0</v>
      </c>
    </row>
    <row r="177" spans="1:50" x14ac:dyDescent="0.2">
      <c r="A177" s="8"/>
      <c r="B177" s="14"/>
      <c r="C177" s="8" t="s">
        <v>33</v>
      </c>
      <c r="D177" s="8"/>
      <c r="E177" s="80"/>
      <c r="F177" s="10">
        <f t="shared" ref="F177:AW177" si="62">MAX(F144:F173)</f>
        <v>382831</v>
      </c>
      <c r="G177" s="10">
        <f t="shared" si="62"/>
        <v>144115</v>
      </c>
      <c r="H177" s="10">
        <f t="shared" si="62"/>
        <v>3.4028181289947703</v>
      </c>
      <c r="I177" s="10">
        <f t="shared" si="62"/>
        <v>455</v>
      </c>
      <c r="J177" s="10">
        <f t="shared" si="62"/>
        <v>9301</v>
      </c>
      <c r="K177" s="10">
        <f t="shared" si="62"/>
        <v>760</v>
      </c>
      <c r="L177" s="10">
        <f t="shared" si="62"/>
        <v>0</v>
      </c>
      <c r="M177" s="10">
        <f t="shared" si="62"/>
        <v>140322</v>
      </c>
      <c r="N177" s="10">
        <f t="shared" si="62"/>
        <v>129115</v>
      </c>
      <c r="O177" s="10">
        <f t="shared" si="62"/>
        <v>112806</v>
      </c>
      <c r="P177" s="10">
        <f t="shared" si="62"/>
        <v>66673</v>
      </c>
      <c r="Q177" s="10">
        <f t="shared" si="62"/>
        <v>144115</v>
      </c>
      <c r="R177" s="10">
        <f t="shared" si="62"/>
        <v>0</v>
      </c>
      <c r="S177" s="10">
        <f t="shared" si="62"/>
        <v>0</v>
      </c>
      <c r="T177" s="10">
        <f t="shared" si="62"/>
        <v>0</v>
      </c>
      <c r="U177" s="10">
        <f t="shared" si="62"/>
        <v>0</v>
      </c>
      <c r="V177" s="10">
        <f t="shared" si="62"/>
        <v>0</v>
      </c>
      <c r="W177" s="10">
        <f t="shared" si="62"/>
        <v>0</v>
      </c>
      <c r="X177" s="10">
        <f t="shared" si="62"/>
        <v>0</v>
      </c>
      <c r="Y177" s="10">
        <f t="shared" si="62"/>
        <v>0</v>
      </c>
      <c r="Z177" s="10">
        <f t="shared" si="62"/>
        <v>0</v>
      </c>
      <c r="AA177" s="10">
        <f t="shared" si="62"/>
        <v>0</v>
      </c>
      <c r="AB177" s="10">
        <f t="shared" si="62"/>
        <v>0</v>
      </c>
      <c r="AC177" s="10">
        <f t="shared" si="62"/>
        <v>0</v>
      </c>
      <c r="AD177" s="10">
        <f t="shared" si="62"/>
        <v>0</v>
      </c>
      <c r="AE177" s="10">
        <f t="shared" si="62"/>
        <v>0</v>
      </c>
      <c r="AF177" s="10">
        <f t="shared" si="62"/>
        <v>0</v>
      </c>
      <c r="AG177" s="10">
        <f t="shared" si="62"/>
        <v>0</v>
      </c>
      <c r="AH177" s="10">
        <f t="shared" si="62"/>
        <v>0</v>
      </c>
      <c r="AI177" s="10">
        <f t="shared" si="62"/>
        <v>0</v>
      </c>
      <c r="AJ177" s="10">
        <f t="shared" si="62"/>
        <v>0</v>
      </c>
      <c r="AK177" s="10">
        <f t="shared" si="62"/>
        <v>0</v>
      </c>
      <c r="AL177" s="10">
        <f t="shared" si="62"/>
        <v>0</v>
      </c>
      <c r="AM177" s="46">
        <f t="shared" si="62"/>
        <v>0</v>
      </c>
      <c r="AN177" s="10">
        <f t="shared" si="62"/>
        <v>0</v>
      </c>
      <c r="AO177" s="10">
        <f t="shared" si="62"/>
        <v>0</v>
      </c>
      <c r="AP177" s="10">
        <f t="shared" si="62"/>
        <v>0</v>
      </c>
      <c r="AQ177" s="10">
        <f t="shared" si="62"/>
        <v>0</v>
      </c>
      <c r="AR177" s="10">
        <f t="shared" si="62"/>
        <v>0</v>
      </c>
      <c r="AS177" s="10">
        <f t="shared" si="62"/>
        <v>0</v>
      </c>
      <c r="AT177" s="10">
        <f t="shared" si="62"/>
        <v>0</v>
      </c>
      <c r="AU177" s="10">
        <f t="shared" si="62"/>
        <v>0</v>
      </c>
      <c r="AV177" s="10">
        <f t="shared" si="62"/>
        <v>0</v>
      </c>
      <c r="AW177" s="10">
        <f t="shared" si="62"/>
        <v>0</v>
      </c>
      <c r="AX177" s="10">
        <f>MAX(AX144:AX173)</f>
        <v>0</v>
      </c>
    </row>
    <row r="178" spans="1:50" x14ac:dyDescent="0.2">
      <c r="A178" s="8"/>
      <c r="B178" s="14"/>
      <c r="C178" s="8" t="s">
        <v>34</v>
      </c>
      <c r="D178" s="8"/>
      <c r="E178" s="80"/>
      <c r="F178" s="10">
        <f t="shared" ref="F178:AW178" si="63">AVERAGE(F144:F173)</f>
        <v>160679.36666666667</v>
      </c>
      <c r="G178" s="10">
        <f t="shared" si="63"/>
        <v>61087</v>
      </c>
      <c r="H178" s="10">
        <f t="shared" si="63"/>
        <v>2.6335203203547701</v>
      </c>
      <c r="I178" s="10">
        <f t="shared" si="63"/>
        <v>123.07999999999998</v>
      </c>
      <c r="J178" s="10">
        <f t="shared" si="63"/>
        <v>3270.4399999999996</v>
      </c>
      <c r="K178" s="10">
        <f t="shared" si="63"/>
        <v>491.33266666666657</v>
      </c>
      <c r="L178" s="10" t="e">
        <f t="shared" si="63"/>
        <v>#DIV/0!</v>
      </c>
      <c r="M178" s="10">
        <f t="shared" si="63"/>
        <v>54677.533333333333</v>
      </c>
      <c r="N178" s="10">
        <f t="shared" si="63"/>
        <v>53558.1</v>
      </c>
      <c r="O178" s="10">
        <f t="shared" si="63"/>
        <v>34351.433333333334</v>
      </c>
      <c r="P178" s="10">
        <f t="shared" si="63"/>
        <v>5092.0666666666666</v>
      </c>
      <c r="Q178" s="10">
        <f t="shared" si="63"/>
        <v>61087</v>
      </c>
      <c r="R178" s="10" t="e">
        <f t="shared" si="63"/>
        <v>#DIV/0!</v>
      </c>
      <c r="S178" s="10">
        <f t="shared" si="63"/>
        <v>0</v>
      </c>
      <c r="T178" s="10">
        <f t="shared" si="63"/>
        <v>0</v>
      </c>
      <c r="U178" s="10">
        <f t="shared" si="63"/>
        <v>0</v>
      </c>
      <c r="V178" s="10">
        <f t="shared" si="63"/>
        <v>0</v>
      </c>
      <c r="W178" s="10">
        <f t="shared" si="63"/>
        <v>0</v>
      </c>
      <c r="X178" s="10">
        <f t="shared" si="63"/>
        <v>0</v>
      </c>
      <c r="Y178" s="10">
        <f t="shared" si="63"/>
        <v>0</v>
      </c>
      <c r="Z178" s="10">
        <f t="shared" si="63"/>
        <v>0</v>
      </c>
      <c r="AA178" s="10">
        <f t="shared" si="63"/>
        <v>0</v>
      </c>
      <c r="AB178" s="10">
        <f t="shared" si="63"/>
        <v>0</v>
      </c>
      <c r="AC178" s="10">
        <f t="shared" si="63"/>
        <v>0</v>
      </c>
      <c r="AD178" s="10">
        <f t="shared" si="63"/>
        <v>0</v>
      </c>
      <c r="AE178" s="10">
        <f t="shared" si="63"/>
        <v>0</v>
      </c>
      <c r="AF178" s="10">
        <f t="shared" si="63"/>
        <v>0</v>
      </c>
      <c r="AG178" s="10">
        <f t="shared" si="63"/>
        <v>0</v>
      </c>
      <c r="AH178" s="10">
        <f t="shared" si="63"/>
        <v>0</v>
      </c>
      <c r="AI178" s="10">
        <f t="shared" si="63"/>
        <v>0</v>
      </c>
      <c r="AJ178" s="10">
        <f t="shared" si="63"/>
        <v>0</v>
      </c>
      <c r="AK178" s="10">
        <f t="shared" si="63"/>
        <v>0</v>
      </c>
      <c r="AL178" s="10">
        <f t="shared" si="63"/>
        <v>0</v>
      </c>
      <c r="AM178" s="46">
        <f t="shared" si="63"/>
        <v>0</v>
      </c>
      <c r="AN178" s="10">
        <f t="shared" si="63"/>
        <v>0</v>
      </c>
      <c r="AO178" s="10">
        <f t="shared" si="63"/>
        <v>0</v>
      </c>
      <c r="AP178" s="10">
        <f t="shared" si="63"/>
        <v>0</v>
      </c>
      <c r="AQ178" s="10">
        <f t="shared" si="63"/>
        <v>0</v>
      </c>
      <c r="AR178" s="10">
        <f t="shared" si="63"/>
        <v>0</v>
      </c>
      <c r="AS178" s="10">
        <f t="shared" si="63"/>
        <v>0</v>
      </c>
      <c r="AT178" s="10">
        <f t="shared" si="63"/>
        <v>0</v>
      </c>
      <c r="AU178" s="10">
        <f t="shared" si="63"/>
        <v>0</v>
      </c>
      <c r="AV178" s="10">
        <f t="shared" si="63"/>
        <v>0</v>
      </c>
      <c r="AW178" s="10">
        <f t="shared" si="63"/>
        <v>0</v>
      </c>
      <c r="AX178" s="10">
        <f>AVERAGE(AX144:AX173)</f>
        <v>0</v>
      </c>
    </row>
    <row r="179" spans="1:50" ht="13.5" thickBot="1" x14ac:dyDescent="0.25">
      <c r="A179" s="16"/>
      <c r="B179" s="17"/>
      <c r="C179" s="16" t="s">
        <v>35</v>
      </c>
      <c r="D179" s="16"/>
      <c r="E179" s="80"/>
      <c r="F179" s="18">
        <f t="shared" ref="F179:AW179" si="64">MEDIAN(F144:F173)</f>
        <v>158445.5</v>
      </c>
      <c r="G179" s="18">
        <f t="shared" si="64"/>
        <v>60498.5</v>
      </c>
      <c r="H179" s="18">
        <f t="shared" si="64"/>
        <v>2.634095437191025</v>
      </c>
      <c r="I179" s="18">
        <f t="shared" si="64"/>
        <v>45.2</v>
      </c>
      <c r="J179" s="18">
        <f t="shared" si="64"/>
        <v>3401.6499999999996</v>
      </c>
      <c r="K179" s="18">
        <f t="shared" si="64"/>
        <v>466.44</v>
      </c>
      <c r="L179" s="18" t="e">
        <f t="shared" si="64"/>
        <v>#NUM!</v>
      </c>
      <c r="M179" s="18">
        <f t="shared" si="64"/>
        <v>54178</v>
      </c>
      <c r="N179" s="18">
        <f t="shared" si="64"/>
        <v>53554</v>
      </c>
      <c r="O179" s="18">
        <f t="shared" si="64"/>
        <v>30421</v>
      </c>
      <c r="P179" s="18">
        <f t="shared" si="64"/>
        <v>0</v>
      </c>
      <c r="Q179" s="18">
        <f t="shared" si="64"/>
        <v>60498.5</v>
      </c>
      <c r="R179" s="18" t="e">
        <f t="shared" si="64"/>
        <v>#NUM!</v>
      </c>
      <c r="S179" s="18">
        <f t="shared" si="64"/>
        <v>0</v>
      </c>
      <c r="T179" s="18">
        <f t="shared" si="64"/>
        <v>0</v>
      </c>
      <c r="U179" s="18">
        <f t="shared" si="64"/>
        <v>0</v>
      </c>
      <c r="V179" s="18">
        <f t="shared" si="64"/>
        <v>0</v>
      </c>
      <c r="W179" s="18">
        <f t="shared" si="64"/>
        <v>0</v>
      </c>
      <c r="X179" s="18">
        <f t="shared" si="64"/>
        <v>0</v>
      </c>
      <c r="Y179" s="18">
        <f t="shared" si="64"/>
        <v>0</v>
      </c>
      <c r="Z179" s="18">
        <f t="shared" si="64"/>
        <v>0</v>
      </c>
      <c r="AA179" s="18">
        <f t="shared" si="64"/>
        <v>0</v>
      </c>
      <c r="AB179" s="18">
        <f t="shared" si="64"/>
        <v>0</v>
      </c>
      <c r="AC179" s="18">
        <f t="shared" si="64"/>
        <v>0</v>
      </c>
      <c r="AD179" s="18">
        <f t="shared" si="64"/>
        <v>0</v>
      </c>
      <c r="AE179" s="18">
        <f t="shared" si="64"/>
        <v>0</v>
      </c>
      <c r="AF179" s="18">
        <f t="shared" si="64"/>
        <v>0</v>
      </c>
      <c r="AG179" s="18">
        <f t="shared" si="64"/>
        <v>0</v>
      </c>
      <c r="AH179" s="18">
        <f t="shared" si="64"/>
        <v>0</v>
      </c>
      <c r="AI179" s="18">
        <f t="shared" si="64"/>
        <v>0</v>
      </c>
      <c r="AJ179" s="18">
        <f t="shared" si="64"/>
        <v>0</v>
      </c>
      <c r="AK179" s="18">
        <f t="shared" si="64"/>
        <v>0</v>
      </c>
      <c r="AL179" s="18">
        <f t="shared" si="64"/>
        <v>0</v>
      </c>
      <c r="AM179" s="47">
        <f t="shared" si="64"/>
        <v>0</v>
      </c>
      <c r="AN179" s="18">
        <f t="shared" si="64"/>
        <v>0</v>
      </c>
      <c r="AO179" s="18">
        <f t="shared" si="64"/>
        <v>0</v>
      </c>
      <c r="AP179" s="18">
        <f t="shared" si="64"/>
        <v>0</v>
      </c>
      <c r="AQ179" s="18">
        <f t="shared" si="64"/>
        <v>0</v>
      </c>
      <c r="AR179" s="18">
        <f t="shared" si="64"/>
        <v>0</v>
      </c>
      <c r="AS179" s="18">
        <f t="shared" si="64"/>
        <v>0</v>
      </c>
      <c r="AT179" s="18">
        <f t="shared" si="64"/>
        <v>0</v>
      </c>
      <c r="AU179" s="18">
        <f t="shared" si="64"/>
        <v>0</v>
      </c>
      <c r="AV179" s="18">
        <f t="shared" si="64"/>
        <v>0</v>
      </c>
      <c r="AW179" s="18">
        <f t="shared" si="64"/>
        <v>0</v>
      </c>
      <c r="AX179" s="18">
        <f>MEDIAN(AX144:AX173)</f>
        <v>0</v>
      </c>
    </row>
    <row r="180" spans="1:50" ht="13.5" thickTop="1" x14ac:dyDescent="0.2">
      <c r="B180" s="48" t="s">
        <v>27</v>
      </c>
      <c r="F180"/>
      <c r="G180"/>
      <c r="H180"/>
      <c r="I180"/>
      <c r="J180"/>
      <c r="K180"/>
    </row>
    <row r="181" spans="1:50" x14ac:dyDescent="0.2">
      <c r="B181" s="48"/>
    </row>
    <row r="183" spans="1:50" ht="15.75" x14ac:dyDescent="0.25">
      <c r="B183" s="86" t="s">
        <v>10</v>
      </c>
      <c r="C183" s="87"/>
      <c r="D183" s="87"/>
      <c r="E183" s="88"/>
      <c r="F183" s="52"/>
      <c r="G183" s="52"/>
      <c r="H183" s="52"/>
      <c r="I183" s="52"/>
      <c r="J183" s="52"/>
      <c r="K183" s="52"/>
    </row>
    <row r="184" spans="1:50" x14ac:dyDescent="0.2">
      <c r="A184" s="8">
        <v>11650</v>
      </c>
      <c r="B184" s="89" t="str">
        <f t="shared" ref="B184:B195" si="65">VLOOKUP($A184,$A$5:$K$132,2,FALSE)</f>
        <v>Central Coast</v>
      </c>
      <c r="C184" s="9" t="str">
        <f t="shared" ref="C184:C195" si="66">VLOOKUP($A184,$A$5:$K$133,3,FALSE)</f>
        <v>Hunter</v>
      </c>
      <c r="D184" s="51" t="str">
        <f t="shared" ref="D184:D195" si="67">VLOOKUP($A184,$A$5:$K$133,4,FALSE)</f>
        <v>E</v>
      </c>
      <c r="E184" s="10">
        <f t="shared" ref="E184:E195" si="68">VLOOKUP($A184,$A$5:$AX$132,5,FALSE)</f>
        <v>0</v>
      </c>
      <c r="F184" s="10">
        <f t="shared" ref="F184:F195" si="69">VLOOKUP($A184,$A$5:$AX$132,6,FALSE)</f>
        <v>345809</v>
      </c>
      <c r="G184" s="10">
        <f t="shared" ref="G184:G195" si="70">VLOOKUP($A184,$A$5:$AX$132,7,FALSE)</f>
        <v>134461</v>
      </c>
      <c r="H184" s="10">
        <f t="shared" ref="H184:H195" si="71">VLOOKUP($A184,$A$5:$AX$132,8,FALSE)</f>
        <v>2.5718163631090056</v>
      </c>
      <c r="I184" s="10">
        <f t="shared" ref="I184:I195" si="72">VLOOKUP($A184,$A$5:$AX$132,9,FALSE)</f>
        <v>1681.1</v>
      </c>
      <c r="J184" s="10">
        <f t="shared" ref="J184:J195" si="73">VLOOKUP($A184,$A$5:$AX$132,10,FALSE)</f>
        <v>205.7</v>
      </c>
      <c r="K184" s="10">
        <f t="shared" ref="K184:K195" si="74">VLOOKUP($A184,$A$5:$AX$132,11,FALSE)</f>
        <v>512</v>
      </c>
      <c r="L184" s="10" t="str">
        <f t="shared" ref="L184:L195" si="75">VLOOKUP($A184,$A$4:$AX$132,12,FALSE)</f>
        <v>Y</v>
      </c>
      <c r="M184" s="10">
        <f t="shared" ref="M184:M195" si="76">VLOOKUP($A184,$A$4:$AX$132,13,FALSE)</f>
        <v>134461</v>
      </c>
      <c r="N184" s="10">
        <f t="shared" ref="N184:N195" si="77">VLOOKUP($A184,$A$4:$AX$132,14,FALSE)</f>
        <v>128460</v>
      </c>
      <c r="O184" s="10">
        <f t="shared" ref="O184:O195" si="78">VLOOKUP($A184,$A$4:$AX$132,15,FALSE)</f>
        <v>124758</v>
      </c>
      <c r="P184" s="10">
        <f t="shared" ref="P184:P195" si="79">VLOOKUP($A184,$A$4:$AX$132,16,FALSE)</f>
        <v>0</v>
      </c>
      <c r="Q184" s="10">
        <f t="shared" ref="Q184:Q195" si="80">VLOOKUP($A184,$A$4:$AX$132,17,FALSE)</f>
        <v>134461</v>
      </c>
      <c r="R184" s="10" t="str">
        <f t="shared" ref="R184:R195" si="81">VLOOKUP($A184,$A$4:$AX$132,18,FALSE)</f>
        <v>Yes</v>
      </c>
      <c r="S184" s="10" t="str">
        <f t="shared" ref="S184:S195" si="82">VLOOKUP($A184,$A$4:$AX$132,19,FALSE)</f>
        <v>Buttonderry Waste Management Facility - 850 Hue Hue Rd Jilliby</v>
      </c>
      <c r="T184" s="10" t="str">
        <f t="shared" ref="T184:T195" si="83">VLOOKUP($A184,$A$4:$AX$132,20,FALSE)</f>
        <v>Woy Woy Waste Management Facility -Nagari Rd Woy Woy</v>
      </c>
      <c r="U184" s="10">
        <f t="shared" ref="U184:U195" si="84">VLOOKUP($A184,$A$4:$AX$132,21,FALSE)</f>
        <v>0</v>
      </c>
      <c r="V184" s="10">
        <f t="shared" ref="V184:V195" si="85">VLOOKUP($A184,$A$4:$AX$132,22,FALSE)</f>
        <v>0</v>
      </c>
      <c r="W184" s="10">
        <f t="shared" ref="W184:W195" si="86">VLOOKUP($A184,$A$4:$AX$132,23,FALSE)</f>
        <v>0</v>
      </c>
      <c r="X184" s="10">
        <f t="shared" ref="X184:X195" si="87">VLOOKUP($A184,$A$4:$AX$132,24,FALSE)</f>
        <v>0</v>
      </c>
      <c r="Y184" s="10">
        <f t="shared" ref="Y184:Y195" si="88">VLOOKUP($A184,$A$4:$AX$132,25,FALSE)</f>
        <v>0</v>
      </c>
      <c r="Z184" s="10">
        <f t="shared" ref="Z184:Z195" si="89">VLOOKUP($A184,$A$4:$AX$132,26,FALSE)</f>
        <v>0</v>
      </c>
      <c r="AA184" s="10">
        <f t="shared" ref="AA184:AA195" si="90">VLOOKUP($A184,$A$4:$AX$132,27,FALSE)</f>
        <v>0</v>
      </c>
      <c r="AB184" s="10">
        <f t="shared" ref="AB184:AB195" si="91">VLOOKUP($A184,$A$4:$AX$132,28,FALSE)</f>
        <v>0</v>
      </c>
      <c r="AC184" s="10">
        <f t="shared" ref="AC184:AC195" si="92">VLOOKUP($A184,$A$4:$AX$132,29,FALSE)</f>
        <v>0</v>
      </c>
      <c r="AD184" s="10">
        <f t="shared" ref="AD184:AD195" si="93">VLOOKUP($A184,$A$4:$AX$132,30,FALSE)</f>
        <v>0</v>
      </c>
      <c r="AE184" s="10">
        <f t="shared" ref="AE184:AE195" si="94">VLOOKUP($A184,$A$4:$AX$132,31,FALSE)</f>
        <v>0</v>
      </c>
      <c r="AF184" s="10">
        <f t="shared" ref="AF184:AF195" si="95">VLOOKUP($A184,$A$4:$AX$132,32,FALSE)</f>
        <v>0</v>
      </c>
      <c r="AG184" s="10">
        <f t="shared" ref="AG184:AG195" si="96">VLOOKUP($A184,$A$4:$AX$132,33,FALSE)</f>
        <v>0</v>
      </c>
      <c r="AH184" s="10">
        <f t="shared" ref="AH184:AH195" si="97">VLOOKUP($A184,$A$4:$AX$132,34,FALSE)</f>
        <v>0</v>
      </c>
      <c r="AI184" s="10">
        <f t="shared" ref="AI184:AI195" si="98">VLOOKUP($A184,$A$4:$AX$132,35,FALSE)</f>
        <v>0</v>
      </c>
      <c r="AJ184" s="10">
        <f t="shared" ref="AJ184:AJ195" si="99">VLOOKUP($A184,$A$4:$AX$132,36,FALSE)</f>
        <v>0</v>
      </c>
      <c r="AK184" s="10">
        <f t="shared" ref="AK184:AK195" si="100">VLOOKUP($A184,$A$4:$AX$132,37,FALSE)</f>
        <v>0</v>
      </c>
      <c r="AL184" s="10">
        <f t="shared" ref="AL184:AL195" si="101">VLOOKUP($A184,$A$4:$AX$132,38,FALSE)</f>
        <v>0</v>
      </c>
      <c r="AM184" s="10">
        <f t="shared" ref="AM184:AM195" si="102">VLOOKUP($A184,$A$4:$AX$132,39,FALSE)</f>
        <v>0</v>
      </c>
      <c r="AN184" s="46">
        <f t="shared" ref="AN184:AN195" si="103">VLOOKUP($A184,$A$4:$AX$132,40,FALSE)</f>
        <v>0</v>
      </c>
      <c r="AO184" s="10">
        <f t="shared" ref="AO184:AO195" si="104">VLOOKUP($A184,$A$4:$AX$132,41,FALSE)</f>
        <v>0</v>
      </c>
      <c r="AP184" s="10">
        <f t="shared" ref="AP184:AP195" si="105">VLOOKUP($A184,$A$4:$AX$132,42,FALSE)</f>
        <v>0</v>
      </c>
      <c r="AQ184" s="10">
        <f t="shared" ref="AQ184:AQ195" si="106">VLOOKUP($A184,$A$4:$AX$132,43,FALSE)</f>
        <v>0</v>
      </c>
      <c r="AR184" s="10">
        <f t="shared" ref="AR184:AR195" si="107">VLOOKUP($A184,$A$4:$AX$132,44,FALSE)</f>
        <v>0</v>
      </c>
      <c r="AS184" s="10">
        <f t="shared" ref="AS184:AS195" si="108">VLOOKUP($A184,$A$4:$AX$132,45,FALSE)</f>
        <v>0</v>
      </c>
      <c r="AT184" s="10">
        <f t="shared" ref="AT184:AT195" si="109">VLOOKUP($A184,$A$4:$AX$132,46,FALSE)</f>
        <v>0</v>
      </c>
      <c r="AU184" s="10">
        <f t="shared" ref="AU184:AU195" si="110">VLOOKUP($A184,$A$4:$AX$132,47,FALSE)</f>
        <v>0</v>
      </c>
      <c r="AV184" s="10">
        <f t="shared" ref="AV184:AV195" si="111">VLOOKUP($A184,$A$4:$AX$132,48,FALSE)</f>
        <v>0</v>
      </c>
      <c r="AW184" s="10">
        <f t="shared" ref="AW184:AW195" si="112">VLOOKUP($A184,$A$4:$AX$132,49,FALSE)</f>
        <v>0</v>
      </c>
      <c r="AX184" s="10">
        <f t="shared" ref="AX184:AX195" si="113">VLOOKUP($A184,$A$4:$AX$132,50,FALSE)</f>
        <v>0</v>
      </c>
    </row>
    <row r="185" spans="1:50" x14ac:dyDescent="0.2">
      <c r="A185" s="8">
        <v>11720</v>
      </c>
      <c r="B185" s="89" t="str">
        <f t="shared" si="65"/>
        <v>Cessnock</v>
      </c>
      <c r="C185" s="9" t="str">
        <f t="shared" si="66"/>
        <v>Hunter</v>
      </c>
      <c r="D185" s="51" t="str">
        <f t="shared" si="67"/>
        <v>E</v>
      </c>
      <c r="E185" s="10" t="str">
        <f t="shared" si="68"/>
        <v>HJO</v>
      </c>
      <c r="F185" s="10">
        <f t="shared" si="69"/>
        <v>61256</v>
      </c>
      <c r="G185" s="10">
        <f t="shared" si="70"/>
        <v>28478</v>
      </c>
      <c r="H185" s="10">
        <f t="shared" si="71"/>
        <v>2.1509937495610645</v>
      </c>
      <c r="I185" s="10">
        <f t="shared" si="72"/>
        <v>1965.2</v>
      </c>
      <c r="J185" s="10">
        <f t="shared" si="73"/>
        <v>31.2</v>
      </c>
      <c r="K185" s="10">
        <f t="shared" si="74"/>
        <v>599</v>
      </c>
      <c r="L185" s="10" t="str">
        <f t="shared" si="75"/>
        <v>Y</v>
      </c>
      <c r="M185" s="10">
        <f t="shared" si="76"/>
        <v>23719</v>
      </c>
      <c r="N185" s="10">
        <f t="shared" si="77"/>
        <v>23965</v>
      </c>
      <c r="O185" s="10">
        <f t="shared" si="78"/>
        <v>23834</v>
      </c>
      <c r="P185" s="10">
        <f t="shared" si="79"/>
        <v>0</v>
      </c>
      <c r="Q185" s="10">
        <f t="shared" si="80"/>
        <v>0</v>
      </c>
      <c r="R185" s="10" t="str">
        <f t="shared" si="81"/>
        <v>Yes</v>
      </c>
      <c r="S185" s="10" t="str">
        <f t="shared" si="82"/>
        <v>Cessnock Waste Management Centre, 1967 Old Maitland Rd, Cessnock</v>
      </c>
      <c r="T185" s="10">
        <f t="shared" si="83"/>
        <v>0</v>
      </c>
      <c r="U185" s="10">
        <f t="shared" si="84"/>
        <v>0</v>
      </c>
      <c r="V185" s="10">
        <f t="shared" si="85"/>
        <v>0</v>
      </c>
      <c r="W185" s="10">
        <f t="shared" si="86"/>
        <v>0</v>
      </c>
      <c r="X185" s="10">
        <f t="shared" si="87"/>
        <v>0</v>
      </c>
      <c r="Y185" s="10">
        <f t="shared" si="88"/>
        <v>0</v>
      </c>
      <c r="Z185" s="10">
        <f t="shared" si="89"/>
        <v>0</v>
      </c>
      <c r="AA185" s="10">
        <f t="shared" si="90"/>
        <v>0</v>
      </c>
      <c r="AB185" s="10">
        <f t="shared" si="91"/>
        <v>0</v>
      </c>
      <c r="AC185" s="10">
        <f t="shared" si="92"/>
        <v>0</v>
      </c>
      <c r="AD185" s="10">
        <f t="shared" si="93"/>
        <v>0</v>
      </c>
      <c r="AE185" s="10">
        <f t="shared" si="94"/>
        <v>0</v>
      </c>
      <c r="AF185" s="10">
        <f t="shared" si="95"/>
        <v>0</v>
      </c>
      <c r="AG185" s="10">
        <f t="shared" si="96"/>
        <v>0</v>
      </c>
      <c r="AH185" s="10">
        <f t="shared" si="97"/>
        <v>0</v>
      </c>
      <c r="AI185" s="10">
        <f t="shared" si="98"/>
        <v>0</v>
      </c>
      <c r="AJ185" s="10">
        <f t="shared" si="99"/>
        <v>0</v>
      </c>
      <c r="AK185" s="10">
        <f t="shared" si="100"/>
        <v>0</v>
      </c>
      <c r="AL185" s="10">
        <f t="shared" si="101"/>
        <v>0</v>
      </c>
      <c r="AM185" s="10">
        <f t="shared" si="102"/>
        <v>0</v>
      </c>
      <c r="AN185" s="46">
        <f t="shared" si="103"/>
        <v>0</v>
      </c>
      <c r="AO185" s="10">
        <f t="shared" si="104"/>
        <v>0</v>
      </c>
      <c r="AP185" s="10">
        <f t="shared" si="105"/>
        <v>0</v>
      </c>
      <c r="AQ185" s="10">
        <f t="shared" si="106"/>
        <v>0</v>
      </c>
      <c r="AR185" s="10">
        <f t="shared" si="107"/>
        <v>0</v>
      </c>
      <c r="AS185" s="10">
        <f t="shared" si="108"/>
        <v>0</v>
      </c>
      <c r="AT185" s="10">
        <f t="shared" si="109"/>
        <v>0</v>
      </c>
      <c r="AU185" s="10">
        <f t="shared" si="110"/>
        <v>0</v>
      </c>
      <c r="AV185" s="10">
        <f t="shared" si="111"/>
        <v>0</v>
      </c>
      <c r="AW185" s="10">
        <f t="shared" si="112"/>
        <v>0</v>
      </c>
      <c r="AX185" s="10">
        <f t="shared" si="113"/>
        <v>0</v>
      </c>
    </row>
    <row r="186" spans="1:50" x14ac:dyDescent="0.2">
      <c r="A186" s="8">
        <v>13800</v>
      </c>
      <c r="B186" s="89" t="str">
        <f t="shared" si="65"/>
        <v>Hawkesbury</v>
      </c>
      <c r="C186" s="9" t="str">
        <f t="shared" si="66"/>
        <v>WSROC</v>
      </c>
      <c r="D186" s="51" t="str">
        <f t="shared" si="67"/>
        <v>E</v>
      </c>
      <c r="E186" s="10">
        <f t="shared" si="68"/>
        <v>0</v>
      </c>
      <c r="F186" s="10">
        <f t="shared" si="69"/>
        <v>67749</v>
      </c>
      <c r="G186" s="10">
        <f t="shared" si="70"/>
        <v>24843</v>
      </c>
      <c r="H186" s="10">
        <f t="shared" si="71"/>
        <v>2.7270861007124743</v>
      </c>
      <c r="I186" s="10">
        <f t="shared" si="72"/>
        <v>2775.1</v>
      </c>
      <c r="J186" s="10">
        <f t="shared" si="73"/>
        <v>24.4</v>
      </c>
      <c r="K186" s="10">
        <f t="shared" si="74"/>
        <v>681</v>
      </c>
      <c r="L186" s="10" t="str">
        <f t="shared" si="75"/>
        <v>Y</v>
      </c>
      <c r="M186" s="10">
        <f t="shared" si="76"/>
        <v>23816</v>
      </c>
      <c r="N186" s="10">
        <f t="shared" si="77"/>
        <v>23702</v>
      </c>
      <c r="O186" s="10">
        <f t="shared" si="78"/>
        <v>13987</v>
      </c>
      <c r="P186" s="10">
        <f t="shared" si="79"/>
        <v>0</v>
      </c>
      <c r="Q186" s="10">
        <f t="shared" si="80"/>
        <v>24843</v>
      </c>
      <c r="R186" s="10" t="str">
        <f t="shared" si="81"/>
        <v>Yes</v>
      </c>
      <c r="S186" s="10" t="str">
        <f t="shared" si="82"/>
        <v>Hawkesbury City Waste Management Facility, 1 The Driftway, South Windsor</v>
      </c>
      <c r="T186" s="10">
        <f t="shared" si="83"/>
        <v>0</v>
      </c>
      <c r="U186" s="10">
        <f t="shared" si="84"/>
        <v>0</v>
      </c>
      <c r="V186" s="10">
        <f t="shared" si="85"/>
        <v>0</v>
      </c>
      <c r="W186" s="10">
        <f t="shared" si="86"/>
        <v>0</v>
      </c>
      <c r="X186" s="10">
        <f t="shared" si="87"/>
        <v>0</v>
      </c>
      <c r="Y186" s="10">
        <f t="shared" si="88"/>
        <v>0</v>
      </c>
      <c r="Z186" s="10">
        <f t="shared" si="89"/>
        <v>0</v>
      </c>
      <c r="AA186" s="10">
        <f t="shared" si="90"/>
        <v>0</v>
      </c>
      <c r="AB186" s="10">
        <f t="shared" si="91"/>
        <v>0</v>
      </c>
      <c r="AC186" s="10">
        <f t="shared" si="92"/>
        <v>0</v>
      </c>
      <c r="AD186" s="10">
        <f t="shared" si="93"/>
        <v>0</v>
      </c>
      <c r="AE186" s="10">
        <f t="shared" si="94"/>
        <v>0</v>
      </c>
      <c r="AF186" s="10">
        <f t="shared" si="95"/>
        <v>0</v>
      </c>
      <c r="AG186" s="10">
        <f t="shared" si="96"/>
        <v>0</v>
      </c>
      <c r="AH186" s="10">
        <f t="shared" si="97"/>
        <v>0</v>
      </c>
      <c r="AI186" s="10">
        <f t="shared" si="98"/>
        <v>0</v>
      </c>
      <c r="AJ186" s="10">
        <f t="shared" si="99"/>
        <v>0</v>
      </c>
      <c r="AK186" s="10">
        <f t="shared" si="100"/>
        <v>0</v>
      </c>
      <c r="AL186" s="10">
        <f t="shared" si="101"/>
        <v>0</v>
      </c>
      <c r="AM186" s="10">
        <f t="shared" si="102"/>
        <v>0</v>
      </c>
      <c r="AN186" s="46">
        <f t="shared" si="103"/>
        <v>0</v>
      </c>
      <c r="AO186" s="10">
        <f t="shared" si="104"/>
        <v>0</v>
      </c>
      <c r="AP186" s="10">
        <f t="shared" si="105"/>
        <v>0</v>
      </c>
      <c r="AQ186" s="10">
        <f t="shared" si="106"/>
        <v>0</v>
      </c>
      <c r="AR186" s="10">
        <f t="shared" si="107"/>
        <v>0</v>
      </c>
      <c r="AS186" s="10">
        <f t="shared" si="108"/>
        <v>0</v>
      </c>
      <c r="AT186" s="10">
        <f t="shared" si="109"/>
        <v>0</v>
      </c>
      <c r="AU186" s="10">
        <f t="shared" si="110"/>
        <v>0</v>
      </c>
      <c r="AV186" s="10">
        <f t="shared" si="111"/>
        <v>0</v>
      </c>
      <c r="AW186" s="10">
        <f t="shared" si="112"/>
        <v>0</v>
      </c>
      <c r="AX186" s="10">
        <f t="shared" si="113"/>
        <v>0</v>
      </c>
    </row>
    <row r="187" spans="1:50" x14ac:dyDescent="0.2">
      <c r="A187" s="8">
        <v>14400</v>
      </c>
      <c r="B187" s="89" t="str">
        <f t="shared" si="65"/>
        <v>Kiama</v>
      </c>
      <c r="C187" s="9" t="str">
        <f t="shared" si="66"/>
        <v>ISJO</v>
      </c>
      <c r="D187" s="51" t="str">
        <f t="shared" si="67"/>
        <v>E</v>
      </c>
      <c r="E187" s="10" t="str">
        <f t="shared" si="68"/>
        <v>ISJO</v>
      </c>
      <c r="F187" s="10">
        <f t="shared" si="69"/>
        <v>23685</v>
      </c>
      <c r="G187" s="10">
        <f t="shared" si="70"/>
        <v>12389</v>
      </c>
      <c r="H187" s="10">
        <f t="shared" si="71"/>
        <v>1.9117765759948342</v>
      </c>
      <c r="I187" s="10">
        <f t="shared" si="72"/>
        <v>257.7</v>
      </c>
      <c r="J187" s="10">
        <f t="shared" si="73"/>
        <v>91.9</v>
      </c>
      <c r="K187" s="10">
        <f t="shared" si="74"/>
        <v>601.91</v>
      </c>
      <c r="L187" s="10" t="str">
        <f t="shared" si="75"/>
        <v>Y</v>
      </c>
      <c r="M187" s="10">
        <f t="shared" si="76"/>
        <v>10149</v>
      </c>
      <c r="N187" s="10">
        <f t="shared" si="77"/>
        <v>9600</v>
      </c>
      <c r="O187" s="10">
        <f t="shared" si="78"/>
        <v>0</v>
      </c>
      <c r="P187" s="10">
        <f t="shared" si="79"/>
        <v>9622</v>
      </c>
      <c r="Q187" s="10">
        <f t="shared" si="80"/>
        <v>12389</v>
      </c>
      <c r="R187" s="10" t="str">
        <f t="shared" si="81"/>
        <v>Yes</v>
      </c>
      <c r="S187" s="10" t="str">
        <f t="shared" si="82"/>
        <v>Minnamurra Waste disposal Depot</v>
      </c>
      <c r="T187" s="10">
        <f t="shared" si="83"/>
        <v>0</v>
      </c>
      <c r="U187" s="10">
        <f t="shared" si="84"/>
        <v>0</v>
      </c>
      <c r="V187" s="10">
        <f t="shared" si="85"/>
        <v>0</v>
      </c>
      <c r="W187" s="10">
        <f t="shared" si="86"/>
        <v>0</v>
      </c>
      <c r="X187" s="10">
        <f t="shared" si="87"/>
        <v>0</v>
      </c>
      <c r="Y187" s="10">
        <f t="shared" si="88"/>
        <v>0</v>
      </c>
      <c r="Z187" s="10">
        <f t="shared" si="89"/>
        <v>0</v>
      </c>
      <c r="AA187" s="10">
        <f t="shared" si="90"/>
        <v>0</v>
      </c>
      <c r="AB187" s="10">
        <f t="shared" si="91"/>
        <v>0</v>
      </c>
      <c r="AC187" s="10">
        <f t="shared" si="92"/>
        <v>0</v>
      </c>
      <c r="AD187" s="10">
        <f t="shared" si="93"/>
        <v>0</v>
      </c>
      <c r="AE187" s="10">
        <f t="shared" si="94"/>
        <v>0</v>
      </c>
      <c r="AF187" s="10">
        <f t="shared" si="95"/>
        <v>0</v>
      </c>
      <c r="AG187" s="10">
        <f t="shared" si="96"/>
        <v>0</v>
      </c>
      <c r="AH187" s="10">
        <f t="shared" si="97"/>
        <v>0</v>
      </c>
      <c r="AI187" s="10">
        <f t="shared" si="98"/>
        <v>0</v>
      </c>
      <c r="AJ187" s="10">
        <f t="shared" si="99"/>
        <v>0</v>
      </c>
      <c r="AK187" s="10">
        <f t="shared" si="100"/>
        <v>0</v>
      </c>
      <c r="AL187" s="10">
        <f t="shared" si="101"/>
        <v>0</v>
      </c>
      <c r="AM187" s="10">
        <f t="shared" si="102"/>
        <v>0</v>
      </c>
      <c r="AN187" s="46">
        <f t="shared" si="103"/>
        <v>0</v>
      </c>
      <c r="AO187" s="10">
        <f t="shared" si="104"/>
        <v>0</v>
      </c>
      <c r="AP187" s="10">
        <f t="shared" si="105"/>
        <v>0</v>
      </c>
      <c r="AQ187" s="10">
        <f t="shared" si="106"/>
        <v>0</v>
      </c>
      <c r="AR187" s="10">
        <f t="shared" si="107"/>
        <v>0</v>
      </c>
      <c r="AS187" s="10">
        <f t="shared" si="108"/>
        <v>0</v>
      </c>
      <c r="AT187" s="10">
        <f t="shared" si="109"/>
        <v>0</v>
      </c>
      <c r="AU187" s="10">
        <f t="shared" si="110"/>
        <v>0</v>
      </c>
      <c r="AV187" s="10">
        <f t="shared" si="111"/>
        <v>0</v>
      </c>
      <c r="AW187" s="10">
        <f t="shared" si="112"/>
        <v>0</v>
      </c>
      <c r="AX187" s="10">
        <f t="shared" si="113"/>
        <v>0</v>
      </c>
    </row>
    <row r="188" spans="1:50" x14ac:dyDescent="0.2">
      <c r="A188" s="8">
        <v>14650</v>
      </c>
      <c r="B188" s="89" t="str">
        <f t="shared" si="65"/>
        <v>Lake Macquarie</v>
      </c>
      <c r="C188" s="9" t="str">
        <f t="shared" si="66"/>
        <v>Hunter</v>
      </c>
      <c r="D188" s="51" t="str">
        <f t="shared" si="67"/>
        <v>E</v>
      </c>
      <c r="E188" s="10" t="str">
        <f t="shared" si="68"/>
        <v>HJO</v>
      </c>
      <c r="F188" s="10">
        <f t="shared" si="69"/>
        <v>207775</v>
      </c>
      <c r="G188" s="10">
        <f t="shared" si="70"/>
        <v>87115</v>
      </c>
      <c r="H188" s="10">
        <f t="shared" si="71"/>
        <v>2.3850657177294381</v>
      </c>
      <c r="I188" s="10">
        <f t="shared" si="72"/>
        <v>648.6</v>
      </c>
      <c r="J188" s="10">
        <f t="shared" si="73"/>
        <v>320.3</v>
      </c>
      <c r="K188" s="10">
        <f t="shared" si="74"/>
        <v>451</v>
      </c>
      <c r="L188" s="10" t="str">
        <f t="shared" si="75"/>
        <v>Y</v>
      </c>
      <c r="M188" s="10">
        <f t="shared" si="76"/>
        <v>84915</v>
      </c>
      <c r="N188" s="10">
        <f t="shared" si="77"/>
        <v>83059</v>
      </c>
      <c r="O188" s="10">
        <f t="shared" si="78"/>
        <v>0</v>
      </c>
      <c r="P188" s="10">
        <f t="shared" si="79"/>
        <v>84741</v>
      </c>
      <c r="Q188" s="10">
        <f t="shared" si="80"/>
        <v>87115</v>
      </c>
      <c r="R188" s="10" t="str">
        <f t="shared" si="81"/>
        <v>Yes</v>
      </c>
      <c r="S188" s="10" t="str">
        <f t="shared" si="82"/>
        <v xml:space="preserve">Awaba Waste Management Facility </v>
      </c>
      <c r="T188" s="10">
        <f t="shared" si="83"/>
        <v>0</v>
      </c>
      <c r="U188" s="10">
        <f t="shared" si="84"/>
        <v>0</v>
      </c>
      <c r="V188" s="10">
        <f t="shared" si="85"/>
        <v>0</v>
      </c>
      <c r="W188" s="10">
        <f t="shared" si="86"/>
        <v>0</v>
      </c>
      <c r="X188" s="10">
        <f t="shared" si="87"/>
        <v>0</v>
      </c>
      <c r="Y188" s="10">
        <f t="shared" si="88"/>
        <v>0</v>
      </c>
      <c r="Z188" s="10">
        <f t="shared" si="89"/>
        <v>0</v>
      </c>
      <c r="AA188" s="10">
        <f t="shared" si="90"/>
        <v>0</v>
      </c>
      <c r="AB188" s="10">
        <f t="shared" si="91"/>
        <v>0</v>
      </c>
      <c r="AC188" s="10">
        <f t="shared" si="92"/>
        <v>0</v>
      </c>
      <c r="AD188" s="10">
        <f t="shared" si="93"/>
        <v>0</v>
      </c>
      <c r="AE188" s="10">
        <f t="shared" si="94"/>
        <v>0</v>
      </c>
      <c r="AF188" s="10">
        <f t="shared" si="95"/>
        <v>0</v>
      </c>
      <c r="AG188" s="10">
        <f t="shared" si="96"/>
        <v>0</v>
      </c>
      <c r="AH188" s="10">
        <f t="shared" si="97"/>
        <v>0</v>
      </c>
      <c r="AI188" s="10">
        <f t="shared" si="98"/>
        <v>0</v>
      </c>
      <c r="AJ188" s="10">
        <f t="shared" si="99"/>
        <v>0</v>
      </c>
      <c r="AK188" s="10">
        <f t="shared" si="100"/>
        <v>0</v>
      </c>
      <c r="AL188" s="10">
        <f t="shared" si="101"/>
        <v>0</v>
      </c>
      <c r="AM188" s="10">
        <f t="shared" si="102"/>
        <v>0</v>
      </c>
      <c r="AN188" s="46">
        <f t="shared" si="103"/>
        <v>0</v>
      </c>
      <c r="AO188" s="10">
        <f t="shared" si="104"/>
        <v>0</v>
      </c>
      <c r="AP188" s="10">
        <f t="shared" si="105"/>
        <v>0</v>
      </c>
      <c r="AQ188" s="10">
        <f t="shared" si="106"/>
        <v>0</v>
      </c>
      <c r="AR188" s="10">
        <f t="shared" si="107"/>
        <v>0</v>
      </c>
      <c r="AS188" s="10">
        <f t="shared" si="108"/>
        <v>0</v>
      </c>
      <c r="AT188" s="10">
        <f t="shared" si="109"/>
        <v>0</v>
      </c>
      <c r="AU188" s="10">
        <f t="shared" si="110"/>
        <v>0</v>
      </c>
      <c r="AV188" s="10">
        <f t="shared" si="111"/>
        <v>0</v>
      </c>
      <c r="AW188" s="10">
        <f t="shared" si="112"/>
        <v>0</v>
      </c>
      <c r="AX188" s="10">
        <f t="shared" si="113"/>
        <v>0</v>
      </c>
    </row>
    <row r="189" spans="1:50" x14ac:dyDescent="0.2">
      <c r="A189" s="8">
        <v>15050</v>
      </c>
      <c r="B189" s="89" t="str">
        <f t="shared" si="65"/>
        <v>Maitland</v>
      </c>
      <c r="C189" s="9" t="str">
        <f t="shared" si="66"/>
        <v>Hunter</v>
      </c>
      <c r="D189" s="51" t="str">
        <f t="shared" si="67"/>
        <v>E</v>
      </c>
      <c r="E189" s="10" t="str">
        <f t="shared" si="68"/>
        <v>HJO</v>
      </c>
      <c r="F189" s="10">
        <f t="shared" si="69"/>
        <v>87395</v>
      </c>
      <c r="G189" s="10">
        <f t="shared" si="70"/>
        <v>35810</v>
      </c>
      <c r="H189" s="10">
        <f t="shared" si="71"/>
        <v>2.4405194079865957</v>
      </c>
      <c r="I189" s="10">
        <f t="shared" si="72"/>
        <v>391.5</v>
      </c>
      <c r="J189" s="10">
        <f t="shared" si="73"/>
        <v>223.2</v>
      </c>
      <c r="K189" s="10">
        <f t="shared" si="74"/>
        <v>525.35</v>
      </c>
      <c r="L189" s="10" t="str">
        <f t="shared" si="75"/>
        <v>Y</v>
      </c>
      <c r="M189" s="10">
        <f t="shared" si="76"/>
        <v>32906</v>
      </c>
      <c r="N189" s="10">
        <f t="shared" si="77"/>
        <v>32906</v>
      </c>
      <c r="O189" s="10">
        <f t="shared" si="78"/>
        <v>32906</v>
      </c>
      <c r="P189" s="10">
        <f t="shared" si="79"/>
        <v>0</v>
      </c>
      <c r="Q189" s="10">
        <f t="shared" si="80"/>
        <v>35810</v>
      </c>
      <c r="R189" s="10" t="str">
        <f t="shared" si="81"/>
        <v>Yes</v>
      </c>
      <c r="S189" s="10" t="str">
        <f t="shared" si="82"/>
        <v>Mt Vincent Rd Waste Management Centre, 109 Mt Vincent Rd, East Maitland</v>
      </c>
      <c r="T189" s="10">
        <f t="shared" si="83"/>
        <v>0</v>
      </c>
      <c r="U189" s="10">
        <f t="shared" si="84"/>
        <v>0</v>
      </c>
      <c r="V189" s="10">
        <f t="shared" si="85"/>
        <v>0</v>
      </c>
      <c r="W189" s="10">
        <f t="shared" si="86"/>
        <v>0</v>
      </c>
      <c r="X189" s="10">
        <f t="shared" si="87"/>
        <v>0</v>
      </c>
      <c r="Y189" s="10">
        <f t="shared" si="88"/>
        <v>0</v>
      </c>
      <c r="Z189" s="10">
        <f t="shared" si="89"/>
        <v>0</v>
      </c>
      <c r="AA189" s="10">
        <f t="shared" si="90"/>
        <v>0</v>
      </c>
      <c r="AB189" s="10">
        <f t="shared" si="91"/>
        <v>0</v>
      </c>
      <c r="AC189" s="10">
        <f t="shared" si="92"/>
        <v>0</v>
      </c>
      <c r="AD189" s="10">
        <f t="shared" si="93"/>
        <v>0</v>
      </c>
      <c r="AE189" s="10">
        <f t="shared" si="94"/>
        <v>0</v>
      </c>
      <c r="AF189" s="10">
        <f t="shared" si="95"/>
        <v>0</v>
      </c>
      <c r="AG189" s="10">
        <f t="shared" si="96"/>
        <v>0</v>
      </c>
      <c r="AH189" s="10">
        <f t="shared" si="97"/>
        <v>0</v>
      </c>
      <c r="AI189" s="10">
        <f t="shared" si="98"/>
        <v>0</v>
      </c>
      <c r="AJ189" s="10">
        <f t="shared" si="99"/>
        <v>0</v>
      </c>
      <c r="AK189" s="10">
        <f t="shared" si="100"/>
        <v>0</v>
      </c>
      <c r="AL189" s="10">
        <f t="shared" si="101"/>
        <v>0</v>
      </c>
      <c r="AM189" s="10">
        <f t="shared" si="102"/>
        <v>0</v>
      </c>
      <c r="AN189" s="46">
        <f t="shared" si="103"/>
        <v>0</v>
      </c>
      <c r="AO189" s="10">
        <f t="shared" si="104"/>
        <v>0</v>
      </c>
      <c r="AP189" s="10">
        <f t="shared" si="105"/>
        <v>0</v>
      </c>
      <c r="AQ189" s="10">
        <f t="shared" si="106"/>
        <v>0</v>
      </c>
      <c r="AR189" s="10">
        <f t="shared" si="107"/>
        <v>0</v>
      </c>
      <c r="AS189" s="10">
        <f t="shared" si="108"/>
        <v>0</v>
      </c>
      <c r="AT189" s="10">
        <f t="shared" si="109"/>
        <v>0</v>
      </c>
      <c r="AU189" s="10">
        <f t="shared" si="110"/>
        <v>0</v>
      </c>
      <c r="AV189" s="10">
        <f t="shared" si="111"/>
        <v>0</v>
      </c>
      <c r="AW189" s="10">
        <f t="shared" si="112"/>
        <v>0</v>
      </c>
      <c r="AX189" s="10">
        <f t="shared" si="113"/>
        <v>0</v>
      </c>
    </row>
    <row r="190" spans="1:50" x14ac:dyDescent="0.2">
      <c r="A190" s="8">
        <v>15900</v>
      </c>
      <c r="B190" s="89" t="str">
        <f t="shared" si="65"/>
        <v>Newcastle</v>
      </c>
      <c r="C190" s="9" t="str">
        <f t="shared" si="66"/>
        <v>Hunter</v>
      </c>
      <c r="D190" s="51" t="str">
        <f t="shared" si="67"/>
        <v>E</v>
      </c>
      <c r="E190" s="10" t="str">
        <f t="shared" si="68"/>
        <v>HJO</v>
      </c>
      <c r="F190" s="10">
        <f t="shared" si="69"/>
        <v>167363</v>
      </c>
      <c r="G190" s="10">
        <f t="shared" si="70"/>
        <v>72935</v>
      </c>
      <c r="H190" s="10">
        <f t="shared" si="71"/>
        <v>2.2946870501131142</v>
      </c>
      <c r="I190" s="10">
        <f t="shared" si="72"/>
        <v>186.8</v>
      </c>
      <c r="J190" s="10">
        <f t="shared" si="73"/>
        <v>896.2</v>
      </c>
      <c r="K190" s="10">
        <f t="shared" si="74"/>
        <v>374.52</v>
      </c>
      <c r="L190" s="10" t="str">
        <f t="shared" si="75"/>
        <v>Y</v>
      </c>
      <c r="M190" s="10">
        <f t="shared" si="76"/>
        <v>51728</v>
      </c>
      <c r="N190" s="10">
        <f t="shared" si="77"/>
        <v>52056</v>
      </c>
      <c r="O190" s="10">
        <f t="shared" si="78"/>
        <v>52523</v>
      </c>
      <c r="P190" s="10">
        <f t="shared" si="79"/>
        <v>0</v>
      </c>
      <c r="Q190" s="10">
        <f t="shared" si="80"/>
        <v>72935</v>
      </c>
      <c r="R190" s="10" t="str">
        <f t="shared" si="81"/>
        <v>Yes</v>
      </c>
      <c r="S190" s="10" t="str">
        <f t="shared" si="82"/>
        <v>Summerhill Waste Management Centre, 141 Minmi Road, Wallsend</v>
      </c>
      <c r="T190" s="10">
        <f t="shared" si="83"/>
        <v>0</v>
      </c>
      <c r="U190" s="10">
        <f t="shared" si="84"/>
        <v>0</v>
      </c>
      <c r="V190" s="10">
        <f t="shared" si="85"/>
        <v>0</v>
      </c>
      <c r="W190" s="10">
        <f t="shared" si="86"/>
        <v>0</v>
      </c>
      <c r="X190" s="10">
        <f t="shared" si="87"/>
        <v>0</v>
      </c>
      <c r="Y190" s="10">
        <f t="shared" si="88"/>
        <v>0</v>
      </c>
      <c r="Z190" s="10">
        <f t="shared" si="89"/>
        <v>0</v>
      </c>
      <c r="AA190" s="10">
        <f t="shared" si="90"/>
        <v>0</v>
      </c>
      <c r="AB190" s="10">
        <f t="shared" si="91"/>
        <v>0</v>
      </c>
      <c r="AC190" s="10">
        <f t="shared" si="92"/>
        <v>0</v>
      </c>
      <c r="AD190" s="10">
        <f t="shared" si="93"/>
        <v>0</v>
      </c>
      <c r="AE190" s="10">
        <f t="shared" si="94"/>
        <v>0</v>
      </c>
      <c r="AF190" s="10">
        <f t="shared" si="95"/>
        <v>0</v>
      </c>
      <c r="AG190" s="10">
        <f t="shared" si="96"/>
        <v>0</v>
      </c>
      <c r="AH190" s="10">
        <f t="shared" si="97"/>
        <v>0</v>
      </c>
      <c r="AI190" s="10">
        <f t="shared" si="98"/>
        <v>0</v>
      </c>
      <c r="AJ190" s="10">
        <f t="shared" si="99"/>
        <v>0</v>
      </c>
      <c r="AK190" s="10">
        <f t="shared" si="100"/>
        <v>0</v>
      </c>
      <c r="AL190" s="10">
        <f t="shared" si="101"/>
        <v>0</v>
      </c>
      <c r="AM190" s="10">
        <f t="shared" si="102"/>
        <v>0</v>
      </c>
      <c r="AN190" s="46">
        <f t="shared" si="103"/>
        <v>0</v>
      </c>
      <c r="AO190" s="10">
        <f t="shared" si="104"/>
        <v>0</v>
      </c>
      <c r="AP190" s="10">
        <f t="shared" si="105"/>
        <v>0</v>
      </c>
      <c r="AQ190" s="10">
        <f t="shared" si="106"/>
        <v>0</v>
      </c>
      <c r="AR190" s="10">
        <f t="shared" si="107"/>
        <v>0</v>
      </c>
      <c r="AS190" s="10">
        <f t="shared" si="108"/>
        <v>0</v>
      </c>
      <c r="AT190" s="10">
        <f t="shared" si="109"/>
        <v>0</v>
      </c>
      <c r="AU190" s="10">
        <f t="shared" si="110"/>
        <v>0</v>
      </c>
      <c r="AV190" s="10">
        <f t="shared" si="111"/>
        <v>0</v>
      </c>
      <c r="AW190" s="10">
        <f t="shared" si="112"/>
        <v>0</v>
      </c>
      <c r="AX190" s="10">
        <f t="shared" si="113"/>
        <v>0</v>
      </c>
    </row>
    <row r="191" spans="1:50" x14ac:dyDescent="0.2">
      <c r="A191" s="8">
        <v>16400</v>
      </c>
      <c r="B191" s="89" t="str">
        <f t="shared" si="65"/>
        <v>Port Stephens</v>
      </c>
      <c r="C191" s="9" t="str">
        <f t="shared" si="66"/>
        <v>Hunter</v>
      </c>
      <c r="D191" s="51" t="str">
        <f t="shared" si="67"/>
        <v>E</v>
      </c>
      <c r="E191" s="10" t="str">
        <f t="shared" si="68"/>
        <v>HJO</v>
      </c>
      <c r="F191" s="10">
        <f t="shared" si="69"/>
        <v>74506</v>
      </c>
      <c r="G191" s="10">
        <f t="shared" si="70"/>
        <v>36766</v>
      </c>
      <c r="H191" s="10">
        <f t="shared" si="71"/>
        <v>2.0264918674862646</v>
      </c>
      <c r="I191" s="10">
        <f t="shared" si="72"/>
        <v>858.4</v>
      </c>
      <c r="J191" s="10">
        <f t="shared" si="73"/>
        <v>86.8</v>
      </c>
      <c r="K191" s="10">
        <f t="shared" si="74"/>
        <v>452</v>
      </c>
      <c r="L191" s="10" t="str">
        <f t="shared" si="75"/>
        <v>Y</v>
      </c>
      <c r="M191" s="10">
        <f t="shared" si="76"/>
        <v>27499</v>
      </c>
      <c r="N191" s="10">
        <f t="shared" si="77"/>
        <v>25566</v>
      </c>
      <c r="O191" s="10">
        <f t="shared" si="78"/>
        <v>0</v>
      </c>
      <c r="P191" s="10">
        <f t="shared" si="79"/>
        <v>0</v>
      </c>
      <c r="Q191" s="10">
        <f t="shared" si="80"/>
        <v>36766</v>
      </c>
      <c r="R191" s="10" t="str">
        <f t="shared" si="81"/>
        <v>Yes</v>
      </c>
      <c r="S191" s="10" t="str">
        <f t="shared" si="82"/>
        <v>Salamander Bay Waste Transfer Station</v>
      </c>
      <c r="T191" s="10">
        <f t="shared" si="83"/>
        <v>0</v>
      </c>
      <c r="U191" s="10">
        <f t="shared" si="84"/>
        <v>0</v>
      </c>
      <c r="V191" s="10">
        <f t="shared" si="85"/>
        <v>0</v>
      </c>
      <c r="W191" s="10">
        <f t="shared" si="86"/>
        <v>0</v>
      </c>
      <c r="X191" s="10">
        <f t="shared" si="87"/>
        <v>0</v>
      </c>
      <c r="Y191" s="10">
        <f t="shared" si="88"/>
        <v>0</v>
      </c>
      <c r="Z191" s="10">
        <f t="shared" si="89"/>
        <v>0</v>
      </c>
      <c r="AA191" s="10">
        <f t="shared" si="90"/>
        <v>0</v>
      </c>
      <c r="AB191" s="10">
        <f t="shared" si="91"/>
        <v>0</v>
      </c>
      <c r="AC191" s="10">
        <f t="shared" si="92"/>
        <v>0</v>
      </c>
      <c r="AD191" s="10">
        <f t="shared" si="93"/>
        <v>0</v>
      </c>
      <c r="AE191" s="10">
        <f t="shared" si="94"/>
        <v>0</v>
      </c>
      <c r="AF191" s="10">
        <f t="shared" si="95"/>
        <v>0</v>
      </c>
      <c r="AG191" s="10">
        <f t="shared" si="96"/>
        <v>0</v>
      </c>
      <c r="AH191" s="10">
        <f t="shared" si="97"/>
        <v>0</v>
      </c>
      <c r="AI191" s="10">
        <f t="shared" si="98"/>
        <v>0</v>
      </c>
      <c r="AJ191" s="10">
        <f t="shared" si="99"/>
        <v>0</v>
      </c>
      <c r="AK191" s="10">
        <f t="shared" si="100"/>
        <v>0</v>
      </c>
      <c r="AL191" s="10">
        <f t="shared" si="101"/>
        <v>0</v>
      </c>
      <c r="AM191" s="10">
        <f t="shared" si="102"/>
        <v>0</v>
      </c>
      <c r="AN191" s="46">
        <f t="shared" si="103"/>
        <v>0</v>
      </c>
      <c r="AO191" s="10">
        <f t="shared" si="104"/>
        <v>0</v>
      </c>
      <c r="AP191" s="10">
        <f t="shared" si="105"/>
        <v>0</v>
      </c>
      <c r="AQ191" s="10">
        <f t="shared" si="106"/>
        <v>0</v>
      </c>
      <c r="AR191" s="10">
        <f t="shared" si="107"/>
        <v>0</v>
      </c>
      <c r="AS191" s="10">
        <f t="shared" si="108"/>
        <v>0</v>
      </c>
      <c r="AT191" s="10">
        <f t="shared" si="109"/>
        <v>0</v>
      </c>
      <c r="AU191" s="10">
        <f t="shared" si="110"/>
        <v>0</v>
      </c>
      <c r="AV191" s="10">
        <f t="shared" si="111"/>
        <v>0</v>
      </c>
      <c r="AW191" s="10">
        <f t="shared" si="112"/>
        <v>0</v>
      </c>
      <c r="AX191" s="10">
        <f t="shared" si="113"/>
        <v>0</v>
      </c>
    </row>
    <row r="192" spans="1:50" x14ac:dyDescent="0.2">
      <c r="A192" s="8">
        <v>16900</v>
      </c>
      <c r="B192" s="89" t="str">
        <f t="shared" si="65"/>
        <v>Shellharbour</v>
      </c>
      <c r="C192" s="9" t="str">
        <f t="shared" si="66"/>
        <v>ISJO</v>
      </c>
      <c r="D192" s="51" t="str">
        <f t="shared" si="67"/>
        <v>E</v>
      </c>
      <c r="E192" s="10" t="str">
        <f t="shared" si="68"/>
        <v>ISJO</v>
      </c>
      <c r="F192" s="10">
        <f t="shared" si="69"/>
        <v>74622</v>
      </c>
      <c r="G192" s="10">
        <f t="shared" si="70"/>
        <v>29784</v>
      </c>
      <c r="H192" s="10">
        <f t="shared" si="71"/>
        <v>2.5054391619661565</v>
      </c>
      <c r="I192" s="10">
        <f t="shared" si="72"/>
        <v>147.4</v>
      </c>
      <c r="J192" s="10">
        <f t="shared" si="73"/>
        <v>506.2</v>
      </c>
      <c r="K192" s="10">
        <f t="shared" si="74"/>
        <v>570</v>
      </c>
      <c r="L192" s="10" t="str">
        <f t="shared" si="75"/>
        <v>Y</v>
      </c>
      <c r="M192" s="10">
        <f t="shared" si="76"/>
        <v>28391</v>
      </c>
      <c r="N192" s="10">
        <f t="shared" si="77"/>
        <v>28621</v>
      </c>
      <c r="O192" s="10">
        <f t="shared" si="78"/>
        <v>0</v>
      </c>
      <c r="P192" s="10">
        <f t="shared" si="79"/>
        <v>28621</v>
      </c>
      <c r="Q192" s="10">
        <f t="shared" si="80"/>
        <v>29784</v>
      </c>
      <c r="R192" s="10" t="str">
        <f t="shared" si="81"/>
        <v>Yes</v>
      </c>
      <c r="S192" s="10" t="str">
        <f t="shared" si="82"/>
        <v>Dunmore Recycling and Waste Disposal Depot, 44 Buckleys Road, Dunmore</v>
      </c>
      <c r="T192" s="10">
        <f t="shared" si="83"/>
        <v>0</v>
      </c>
      <c r="U192" s="10">
        <f t="shared" si="84"/>
        <v>0</v>
      </c>
      <c r="V192" s="10">
        <f t="shared" si="85"/>
        <v>0</v>
      </c>
      <c r="W192" s="10">
        <f t="shared" si="86"/>
        <v>0</v>
      </c>
      <c r="X192" s="10">
        <f t="shared" si="87"/>
        <v>0</v>
      </c>
      <c r="Y192" s="10">
        <f t="shared" si="88"/>
        <v>0</v>
      </c>
      <c r="Z192" s="10">
        <f t="shared" si="89"/>
        <v>0</v>
      </c>
      <c r="AA192" s="10">
        <f t="shared" si="90"/>
        <v>0</v>
      </c>
      <c r="AB192" s="10">
        <f t="shared" si="91"/>
        <v>0</v>
      </c>
      <c r="AC192" s="10">
        <f t="shared" si="92"/>
        <v>0</v>
      </c>
      <c r="AD192" s="10">
        <f t="shared" si="93"/>
        <v>0</v>
      </c>
      <c r="AE192" s="10">
        <f t="shared" si="94"/>
        <v>0</v>
      </c>
      <c r="AF192" s="10">
        <f t="shared" si="95"/>
        <v>0</v>
      </c>
      <c r="AG192" s="10">
        <f t="shared" si="96"/>
        <v>0</v>
      </c>
      <c r="AH192" s="10">
        <f t="shared" si="97"/>
        <v>0</v>
      </c>
      <c r="AI192" s="10">
        <f t="shared" si="98"/>
        <v>0</v>
      </c>
      <c r="AJ192" s="10">
        <f t="shared" si="99"/>
        <v>0</v>
      </c>
      <c r="AK192" s="10">
        <f t="shared" si="100"/>
        <v>0</v>
      </c>
      <c r="AL192" s="10">
        <f t="shared" si="101"/>
        <v>0</v>
      </c>
      <c r="AM192" s="10">
        <f t="shared" si="102"/>
        <v>0</v>
      </c>
      <c r="AN192" s="46">
        <f t="shared" si="103"/>
        <v>0</v>
      </c>
      <c r="AO192" s="10">
        <f t="shared" si="104"/>
        <v>0</v>
      </c>
      <c r="AP192" s="10">
        <f t="shared" si="105"/>
        <v>0</v>
      </c>
      <c r="AQ192" s="10">
        <f t="shared" si="106"/>
        <v>0</v>
      </c>
      <c r="AR192" s="10">
        <f t="shared" si="107"/>
        <v>0</v>
      </c>
      <c r="AS192" s="10">
        <f t="shared" si="108"/>
        <v>0</v>
      </c>
      <c r="AT192" s="10">
        <f t="shared" si="109"/>
        <v>0</v>
      </c>
      <c r="AU192" s="10">
        <f t="shared" si="110"/>
        <v>0</v>
      </c>
      <c r="AV192" s="10">
        <f t="shared" si="111"/>
        <v>0</v>
      </c>
      <c r="AW192" s="10">
        <f t="shared" si="112"/>
        <v>0</v>
      </c>
      <c r="AX192" s="10">
        <f t="shared" si="113"/>
        <v>0</v>
      </c>
    </row>
    <row r="193" spans="1:50" x14ac:dyDescent="0.2">
      <c r="A193" s="8">
        <v>16950</v>
      </c>
      <c r="B193" s="89" t="str">
        <f t="shared" si="65"/>
        <v>Shoalhaven</v>
      </c>
      <c r="C193" s="9" t="str">
        <f t="shared" si="66"/>
        <v>ISJO</v>
      </c>
      <c r="D193" s="51" t="str">
        <f t="shared" si="67"/>
        <v>E</v>
      </c>
      <c r="E193" s="10" t="str">
        <f t="shared" si="68"/>
        <v>ISJO</v>
      </c>
      <c r="F193" s="10">
        <f t="shared" si="69"/>
        <v>107191</v>
      </c>
      <c r="G193" s="10">
        <f t="shared" si="70"/>
        <v>57387</v>
      </c>
      <c r="H193" s="10">
        <f t="shared" si="71"/>
        <v>1.867862059351421</v>
      </c>
      <c r="I193" s="10">
        <f t="shared" si="72"/>
        <v>4566.7</v>
      </c>
      <c r="J193" s="10">
        <f t="shared" si="73"/>
        <v>23.5</v>
      </c>
      <c r="K193" s="10">
        <f t="shared" si="74"/>
        <v>385</v>
      </c>
      <c r="L193" s="10" t="str">
        <f t="shared" si="75"/>
        <v>Y</v>
      </c>
      <c r="M193" s="10">
        <f t="shared" si="76"/>
        <v>51636</v>
      </c>
      <c r="N193" s="10">
        <f t="shared" si="77"/>
        <v>52912</v>
      </c>
      <c r="O193" s="10">
        <f t="shared" si="78"/>
        <v>0</v>
      </c>
      <c r="P193" s="10">
        <f t="shared" si="79"/>
        <v>0</v>
      </c>
      <c r="Q193" s="10">
        <f t="shared" si="80"/>
        <v>57387</v>
      </c>
      <c r="R193" s="10" t="str">
        <f t="shared" si="81"/>
        <v>Yes</v>
      </c>
      <c r="S193" s="10" t="str">
        <f t="shared" si="82"/>
        <v>West Nowra, 120 Flatrock Rd Mundamia</v>
      </c>
      <c r="T193" s="10" t="str">
        <f t="shared" si="83"/>
        <v>Ulladulla, 94 Pirralea Rd Ulladulla</v>
      </c>
      <c r="U193" s="10" t="str">
        <f t="shared" si="84"/>
        <v>Huskisson, 235 Huskisson Rd Huskisson</v>
      </c>
      <c r="V193" s="10" t="str">
        <f t="shared" si="85"/>
        <v>Berry, 175 Agars Lane Berry</v>
      </c>
      <c r="W193" s="10" t="str">
        <f t="shared" si="86"/>
        <v>Callala, 270 Coonemia Rd Callala</v>
      </c>
      <c r="X193" s="10" t="str">
        <f t="shared" si="87"/>
        <v>Sussex Inlet, 40 The Springs Rd Sussex Inlet</v>
      </c>
      <c r="Y193" s="10" t="str">
        <f t="shared" si="88"/>
        <v>Kioloa, 374 Murramarang Rd Kioloa</v>
      </c>
      <c r="Z193" s="10">
        <f t="shared" si="89"/>
        <v>0</v>
      </c>
      <c r="AA193" s="10">
        <f t="shared" si="90"/>
        <v>0</v>
      </c>
      <c r="AB193" s="10">
        <f t="shared" si="91"/>
        <v>0</v>
      </c>
      <c r="AC193" s="10">
        <f t="shared" si="92"/>
        <v>0</v>
      </c>
      <c r="AD193" s="10">
        <f t="shared" si="93"/>
        <v>0</v>
      </c>
      <c r="AE193" s="10">
        <f t="shared" si="94"/>
        <v>0</v>
      </c>
      <c r="AF193" s="10">
        <f t="shared" si="95"/>
        <v>0</v>
      </c>
      <c r="AG193" s="10">
        <f t="shared" si="96"/>
        <v>0</v>
      </c>
      <c r="AH193" s="10">
        <f t="shared" si="97"/>
        <v>0</v>
      </c>
      <c r="AI193" s="10">
        <f t="shared" si="98"/>
        <v>0</v>
      </c>
      <c r="AJ193" s="10">
        <f t="shared" si="99"/>
        <v>0</v>
      </c>
      <c r="AK193" s="10">
        <f t="shared" si="100"/>
        <v>0</v>
      </c>
      <c r="AL193" s="10">
        <f t="shared" si="101"/>
        <v>0</v>
      </c>
      <c r="AM193" s="10">
        <f t="shared" si="102"/>
        <v>0</v>
      </c>
      <c r="AN193" s="46">
        <f t="shared" si="103"/>
        <v>0</v>
      </c>
      <c r="AO193" s="10">
        <f t="shared" si="104"/>
        <v>0</v>
      </c>
      <c r="AP193" s="10">
        <f t="shared" si="105"/>
        <v>0</v>
      </c>
      <c r="AQ193" s="10">
        <f t="shared" si="106"/>
        <v>0</v>
      </c>
      <c r="AR193" s="10">
        <f t="shared" si="107"/>
        <v>0</v>
      </c>
      <c r="AS193" s="10">
        <f t="shared" si="108"/>
        <v>0</v>
      </c>
      <c r="AT193" s="10">
        <f t="shared" si="109"/>
        <v>0</v>
      </c>
      <c r="AU193" s="10">
        <f t="shared" si="110"/>
        <v>0</v>
      </c>
      <c r="AV193" s="10">
        <f t="shared" si="111"/>
        <v>0</v>
      </c>
      <c r="AW193" s="10">
        <f t="shared" si="112"/>
        <v>0</v>
      </c>
      <c r="AX193" s="10">
        <f t="shared" si="113"/>
        <v>0</v>
      </c>
    </row>
    <row r="194" spans="1:50" x14ac:dyDescent="0.2">
      <c r="A194" s="8">
        <v>18350</v>
      </c>
      <c r="B194" s="89" t="str">
        <f t="shared" si="65"/>
        <v>Wingecarribee</v>
      </c>
      <c r="C194" s="9" t="str">
        <f t="shared" si="66"/>
        <v>CRJO</v>
      </c>
      <c r="D194" s="51" t="str">
        <f t="shared" si="67"/>
        <v>E</v>
      </c>
      <c r="E194" s="10" t="str">
        <f t="shared" si="68"/>
        <v>CRJO</v>
      </c>
      <c r="F194" s="10">
        <f t="shared" si="69"/>
        <v>51760</v>
      </c>
      <c r="G194" s="10">
        <f t="shared" si="70"/>
        <v>20791</v>
      </c>
      <c r="H194" s="10">
        <f t="shared" si="71"/>
        <v>2.4895387427252178</v>
      </c>
      <c r="I194" s="10">
        <f t="shared" si="72"/>
        <v>2689.3</v>
      </c>
      <c r="J194" s="10">
        <f t="shared" si="73"/>
        <v>19.2</v>
      </c>
      <c r="K194" s="10">
        <f t="shared" si="74"/>
        <v>422</v>
      </c>
      <c r="L194" s="10" t="str">
        <f t="shared" si="75"/>
        <v>Y</v>
      </c>
      <c r="M194" s="10">
        <f t="shared" si="76"/>
        <v>19475</v>
      </c>
      <c r="N194" s="10">
        <f t="shared" si="77"/>
        <v>19475</v>
      </c>
      <c r="O194" s="10">
        <f t="shared" si="78"/>
        <v>18417</v>
      </c>
      <c r="P194" s="10">
        <f t="shared" si="79"/>
        <v>0</v>
      </c>
      <c r="Q194" s="10">
        <f t="shared" si="80"/>
        <v>20791</v>
      </c>
      <c r="R194" s="10" t="str">
        <f t="shared" si="81"/>
        <v>Yes</v>
      </c>
      <c r="S194" s="10" t="str">
        <f t="shared" si="82"/>
        <v>Resource Recovery Centre, 177 Berrima Road MOSS VALE</v>
      </c>
      <c r="T194" s="10">
        <f t="shared" si="83"/>
        <v>0</v>
      </c>
      <c r="U194" s="10">
        <f t="shared" si="84"/>
        <v>0</v>
      </c>
      <c r="V194" s="10">
        <f t="shared" si="85"/>
        <v>0</v>
      </c>
      <c r="W194" s="10">
        <f t="shared" si="86"/>
        <v>0</v>
      </c>
      <c r="X194" s="10">
        <f t="shared" si="87"/>
        <v>0</v>
      </c>
      <c r="Y194" s="10">
        <f t="shared" si="88"/>
        <v>0</v>
      </c>
      <c r="Z194" s="10">
        <f t="shared" si="89"/>
        <v>0</v>
      </c>
      <c r="AA194" s="10">
        <f t="shared" si="90"/>
        <v>0</v>
      </c>
      <c r="AB194" s="10">
        <f t="shared" si="91"/>
        <v>0</v>
      </c>
      <c r="AC194" s="10">
        <f t="shared" si="92"/>
        <v>0</v>
      </c>
      <c r="AD194" s="10">
        <f t="shared" si="93"/>
        <v>0</v>
      </c>
      <c r="AE194" s="10">
        <f t="shared" si="94"/>
        <v>0</v>
      </c>
      <c r="AF194" s="10">
        <f t="shared" si="95"/>
        <v>0</v>
      </c>
      <c r="AG194" s="10">
        <f t="shared" si="96"/>
        <v>0</v>
      </c>
      <c r="AH194" s="10">
        <f t="shared" si="97"/>
        <v>0</v>
      </c>
      <c r="AI194" s="10">
        <f t="shared" si="98"/>
        <v>0</v>
      </c>
      <c r="AJ194" s="10">
        <f t="shared" si="99"/>
        <v>0</v>
      </c>
      <c r="AK194" s="10">
        <f t="shared" si="100"/>
        <v>0</v>
      </c>
      <c r="AL194" s="10">
        <f t="shared" si="101"/>
        <v>0</v>
      </c>
      <c r="AM194" s="10">
        <f t="shared" si="102"/>
        <v>0</v>
      </c>
      <c r="AN194" s="46">
        <f t="shared" si="103"/>
        <v>0</v>
      </c>
      <c r="AO194" s="10">
        <f t="shared" si="104"/>
        <v>0</v>
      </c>
      <c r="AP194" s="10">
        <f t="shared" si="105"/>
        <v>0</v>
      </c>
      <c r="AQ194" s="10">
        <f t="shared" si="106"/>
        <v>0</v>
      </c>
      <c r="AR194" s="10">
        <f t="shared" si="107"/>
        <v>0</v>
      </c>
      <c r="AS194" s="10">
        <f t="shared" si="108"/>
        <v>0</v>
      </c>
      <c r="AT194" s="10">
        <f t="shared" si="109"/>
        <v>0</v>
      </c>
      <c r="AU194" s="10">
        <f t="shared" si="110"/>
        <v>0</v>
      </c>
      <c r="AV194" s="10">
        <f t="shared" si="111"/>
        <v>0</v>
      </c>
      <c r="AW194" s="10">
        <f t="shared" si="112"/>
        <v>0</v>
      </c>
      <c r="AX194" s="10">
        <f t="shared" si="113"/>
        <v>0</v>
      </c>
    </row>
    <row r="195" spans="1:50" ht="13.5" thickBot="1" x14ac:dyDescent="0.25">
      <c r="A195" s="8">
        <v>18450</v>
      </c>
      <c r="B195" s="89" t="str">
        <f t="shared" si="65"/>
        <v>Wollongong</v>
      </c>
      <c r="C195" s="9" t="str">
        <f t="shared" si="66"/>
        <v>ISJO</v>
      </c>
      <c r="D195" s="51" t="str">
        <f t="shared" si="67"/>
        <v>E</v>
      </c>
      <c r="E195" s="10" t="str">
        <f t="shared" si="68"/>
        <v>ISJO</v>
      </c>
      <c r="F195" s="10">
        <f t="shared" si="69"/>
        <v>219798</v>
      </c>
      <c r="G195" s="10">
        <f t="shared" si="70"/>
        <v>90526</v>
      </c>
      <c r="H195" s="10">
        <f t="shared" si="71"/>
        <v>2.4280096325917415</v>
      </c>
      <c r="I195" s="10">
        <f t="shared" si="72"/>
        <v>684</v>
      </c>
      <c r="J195" s="10">
        <f t="shared" si="73"/>
        <v>321.3</v>
      </c>
      <c r="K195" s="10">
        <f t="shared" si="74"/>
        <v>411</v>
      </c>
      <c r="L195" s="10" t="str">
        <f t="shared" si="75"/>
        <v>Y</v>
      </c>
      <c r="M195" s="10">
        <f t="shared" si="76"/>
        <v>86047</v>
      </c>
      <c r="N195" s="10">
        <f t="shared" si="77"/>
        <v>86047</v>
      </c>
      <c r="O195" s="10">
        <f t="shared" si="78"/>
        <v>35214</v>
      </c>
      <c r="P195" s="10">
        <f t="shared" si="79"/>
        <v>50833</v>
      </c>
      <c r="Q195" s="10">
        <f t="shared" si="80"/>
        <v>90526</v>
      </c>
      <c r="R195" s="10" t="str">
        <f t="shared" si="81"/>
        <v>Yes</v>
      </c>
      <c r="S195" s="10" t="str">
        <f t="shared" si="82"/>
        <v>Revolve/CRC</v>
      </c>
      <c r="T195" s="10" t="str">
        <f t="shared" si="83"/>
        <v>Wollongong Waste and Resource Recovery Park</v>
      </c>
      <c r="U195" s="10">
        <f t="shared" si="84"/>
        <v>0</v>
      </c>
      <c r="V195" s="10">
        <f t="shared" si="85"/>
        <v>0</v>
      </c>
      <c r="W195" s="10">
        <f t="shared" si="86"/>
        <v>0</v>
      </c>
      <c r="X195" s="10">
        <f t="shared" si="87"/>
        <v>0</v>
      </c>
      <c r="Y195" s="10">
        <f t="shared" si="88"/>
        <v>0</v>
      </c>
      <c r="Z195" s="10">
        <f t="shared" si="89"/>
        <v>0</v>
      </c>
      <c r="AA195" s="10">
        <f t="shared" si="90"/>
        <v>0</v>
      </c>
      <c r="AB195" s="10">
        <f t="shared" si="91"/>
        <v>0</v>
      </c>
      <c r="AC195" s="10">
        <f t="shared" si="92"/>
        <v>0</v>
      </c>
      <c r="AD195" s="10">
        <f t="shared" si="93"/>
        <v>0</v>
      </c>
      <c r="AE195" s="10">
        <f t="shared" si="94"/>
        <v>0</v>
      </c>
      <c r="AF195" s="10">
        <f t="shared" si="95"/>
        <v>0</v>
      </c>
      <c r="AG195" s="10">
        <f t="shared" si="96"/>
        <v>0</v>
      </c>
      <c r="AH195" s="10">
        <f t="shared" si="97"/>
        <v>0</v>
      </c>
      <c r="AI195" s="10">
        <f t="shared" si="98"/>
        <v>0</v>
      </c>
      <c r="AJ195" s="10">
        <f t="shared" si="99"/>
        <v>0</v>
      </c>
      <c r="AK195" s="10">
        <f t="shared" si="100"/>
        <v>0</v>
      </c>
      <c r="AL195" s="10">
        <f t="shared" si="101"/>
        <v>0</v>
      </c>
      <c r="AM195" s="10">
        <f t="shared" si="102"/>
        <v>0</v>
      </c>
      <c r="AN195" s="46">
        <f t="shared" si="103"/>
        <v>0</v>
      </c>
      <c r="AO195" s="10">
        <f t="shared" si="104"/>
        <v>0</v>
      </c>
      <c r="AP195" s="10">
        <f t="shared" si="105"/>
        <v>0</v>
      </c>
      <c r="AQ195" s="10">
        <f t="shared" si="106"/>
        <v>0</v>
      </c>
      <c r="AR195" s="10">
        <f t="shared" si="107"/>
        <v>0</v>
      </c>
      <c r="AS195" s="10">
        <f t="shared" si="108"/>
        <v>0</v>
      </c>
      <c r="AT195" s="10">
        <f t="shared" si="109"/>
        <v>0</v>
      </c>
      <c r="AU195" s="10">
        <f t="shared" si="110"/>
        <v>0</v>
      </c>
      <c r="AV195" s="10">
        <f t="shared" si="111"/>
        <v>0</v>
      </c>
      <c r="AW195" s="10">
        <f t="shared" si="112"/>
        <v>0</v>
      </c>
      <c r="AX195" s="10">
        <f t="shared" si="113"/>
        <v>0</v>
      </c>
    </row>
    <row r="196" spans="1:50" ht="13.5" thickTop="1" x14ac:dyDescent="0.2">
      <c r="A196" s="11"/>
      <c r="B196" s="11"/>
      <c r="C196" s="11" t="s">
        <v>30</v>
      </c>
      <c r="D196" s="11"/>
      <c r="E196" s="12"/>
      <c r="F196" s="13">
        <f t="shared" ref="F196:AX196" si="114">COUNTIF(F184:F195,"&gt;0")</f>
        <v>12</v>
      </c>
      <c r="G196" s="13">
        <f t="shared" si="114"/>
        <v>12</v>
      </c>
      <c r="H196" s="13">
        <f t="shared" si="114"/>
        <v>12</v>
      </c>
      <c r="I196" s="13">
        <f t="shared" si="114"/>
        <v>12</v>
      </c>
      <c r="J196" s="13">
        <f t="shared" si="114"/>
        <v>12</v>
      </c>
      <c r="K196" s="13">
        <f t="shared" si="114"/>
        <v>12</v>
      </c>
      <c r="L196" s="13">
        <f t="shared" si="114"/>
        <v>0</v>
      </c>
      <c r="M196" s="13">
        <f t="shared" si="114"/>
        <v>12</v>
      </c>
      <c r="N196" s="13">
        <f t="shared" si="114"/>
        <v>12</v>
      </c>
      <c r="O196" s="13">
        <f t="shared" si="114"/>
        <v>7</v>
      </c>
      <c r="P196" s="13">
        <f t="shared" si="114"/>
        <v>4</v>
      </c>
      <c r="Q196" s="13">
        <f t="shared" si="114"/>
        <v>11</v>
      </c>
      <c r="R196" s="13">
        <f t="shared" si="114"/>
        <v>0</v>
      </c>
      <c r="S196" s="13">
        <f t="shared" si="114"/>
        <v>0</v>
      </c>
      <c r="T196" s="13">
        <f t="shared" si="114"/>
        <v>0</v>
      </c>
      <c r="U196" s="13">
        <f t="shared" si="114"/>
        <v>0</v>
      </c>
      <c r="V196" s="13">
        <f t="shared" si="114"/>
        <v>0</v>
      </c>
      <c r="W196" s="13">
        <f t="shared" si="114"/>
        <v>0</v>
      </c>
      <c r="X196" s="13">
        <f t="shared" si="114"/>
        <v>0</v>
      </c>
      <c r="Y196" s="13">
        <f t="shared" si="114"/>
        <v>0</v>
      </c>
      <c r="Z196" s="13">
        <f t="shared" si="114"/>
        <v>0</v>
      </c>
      <c r="AA196" s="13">
        <f t="shared" si="114"/>
        <v>0</v>
      </c>
      <c r="AB196" s="13">
        <f t="shared" si="114"/>
        <v>0</v>
      </c>
      <c r="AC196" s="13">
        <f t="shared" si="114"/>
        <v>0</v>
      </c>
      <c r="AD196" s="13">
        <f t="shared" si="114"/>
        <v>0</v>
      </c>
      <c r="AE196" s="13">
        <f t="shared" si="114"/>
        <v>0</v>
      </c>
      <c r="AF196" s="13">
        <f t="shared" si="114"/>
        <v>0</v>
      </c>
      <c r="AG196" s="13">
        <f t="shared" si="114"/>
        <v>0</v>
      </c>
      <c r="AH196" s="13">
        <f t="shared" si="114"/>
        <v>0</v>
      </c>
      <c r="AI196" s="13">
        <f t="shared" si="114"/>
        <v>0</v>
      </c>
      <c r="AJ196" s="13">
        <f t="shared" si="114"/>
        <v>0</v>
      </c>
      <c r="AK196" s="13">
        <f t="shared" si="114"/>
        <v>0</v>
      </c>
      <c r="AL196" s="13">
        <f t="shared" si="114"/>
        <v>0</v>
      </c>
      <c r="AM196" s="44">
        <f t="shared" si="114"/>
        <v>0</v>
      </c>
      <c r="AN196" s="13">
        <f t="shared" si="114"/>
        <v>0</v>
      </c>
      <c r="AO196" s="13">
        <f t="shared" si="114"/>
        <v>0</v>
      </c>
      <c r="AP196" s="13">
        <f t="shared" si="114"/>
        <v>0</v>
      </c>
      <c r="AQ196" s="13">
        <f t="shared" si="114"/>
        <v>0</v>
      </c>
      <c r="AR196" s="13">
        <f t="shared" si="114"/>
        <v>0</v>
      </c>
      <c r="AS196" s="13">
        <f t="shared" si="114"/>
        <v>0</v>
      </c>
      <c r="AT196" s="13">
        <f t="shared" si="114"/>
        <v>0</v>
      </c>
      <c r="AU196" s="13">
        <f t="shared" si="114"/>
        <v>0</v>
      </c>
      <c r="AV196" s="13">
        <f t="shared" si="114"/>
        <v>0</v>
      </c>
      <c r="AW196" s="13">
        <f t="shared" si="114"/>
        <v>0</v>
      </c>
      <c r="AX196" s="13">
        <f t="shared" si="114"/>
        <v>0</v>
      </c>
    </row>
    <row r="197" spans="1:50" x14ac:dyDescent="0.2">
      <c r="A197" s="8"/>
      <c r="B197" s="14" t="s">
        <v>10</v>
      </c>
      <c r="C197" s="8" t="s">
        <v>31</v>
      </c>
      <c r="D197" s="8"/>
      <c r="E197" s="80"/>
      <c r="F197" s="15">
        <f t="shared" ref="F197:AX197" si="115">SUM(F184:F195)</f>
        <v>1488909</v>
      </c>
      <c r="G197" s="15">
        <f t="shared" si="115"/>
        <v>631285</v>
      </c>
      <c r="H197" s="110">
        <f>F197/G197</f>
        <v>2.3585369524065993</v>
      </c>
      <c r="I197" s="15">
        <f t="shared" si="115"/>
        <v>16851.8</v>
      </c>
      <c r="J197" s="15">
        <f t="shared" si="115"/>
        <v>2749.9</v>
      </c>
      <c r="K197" s="15">
        <f t="shared" si="115"/>
        <v>5984.78</v>
      </c>
      <c r="L197" s="15">
        <f t="shared" si="115"/>
        <v>0</v>
      </c>
      <c r="M197" s="15">
        <f t="shared" si="115"/>
        <v>574742</v>
      </c>
      <c r="N197" s="15">
        <f t="shared" si="115"/>
        <v>566369</v>
      </c>
      <c r="O197" s="15">
        <f t="shared" si="115"/>
        <v>301639</v>
      </c>
      <c r="P197" s="15">
        <f t="shared" si="115"/>
        <v>173817</v>
      </c>
      <c r="Q197" s="15">
        <f t="shared" si="115"/>
        <v>602807</v>
      </c>
      <c r="R197" s="15">
        <f t="shared" si="115"/>
        <v>0</v>
      </c>
      <c r="S197" s="15">
        <f t="shared" si="115"/>
        <v>0</v>
      </c>
      <c r="T197" s="15">
        <f t="shared" si="115"/>
        <v>0</v>
      </c>
      <c r="U197" s="15">
        <f t="shared" si="115"/>
        <v>0</v>
      </c>
      <c r="V197" s="15">
        <f t="shared" si="115"/>
        <v>0</v>
      </c>
      <c r="W197" s="15">
        <f t="shared" si="115"/>
        <v>0</v>
      </c>
      <c r="X197" s="15">
        <f t="shared" si="115"/>
        <v>0</v>
      </c>
      <c r="Y197" s="15">
        <f t="shared" si="115"/>
        <v>0</v>
      </c>
      <c r="Z197" s="15">
        <f t="shared" si="115"/>
        <v>0</v>
      </c>
      <c r="AA197" s="15">
        <f t="shared" si="115"/>
        <v>0</v>
      </c>
      <c r="AB197" s="15">
        <f t="shared" si="115"/>
        <v>0</v>
      </c>
      <c r="AC197" s="15">
        <f t="shared" si="115"/>
        <v>0</v>
      </c>
      <c r="AD197" s="15">
        <f t="shared" si="115"/>
        <v>0</v>
      </c>
      <c r="AE197" s="15">
        <f t="shared" si="115"/>
        <v>0</v>
      </c>
      <c r="AF197" s="15">
        <f t="shared" si="115"/>
        <v>0</v>
      </c>
      <c r="AG197" s="15">
        <f t="shared" si="115"/>
        <v>0</v>
      </c>
      <c r="AH197" s="15">
        <f t="shared" si="115"/>
        <v>0</v>
      </c>
      <c r="AI197" s="15">
        <f t="shared" si="115"/>
        <v>0</v>
      </c>
      <c r="AJ197" s="15">
        <f t="shared" si="115"/>
        <v>0</v>
      </c>
      <c r="AK197" s="15">
        <f t="shared" si="115"/>
        <v>0</v>
      </c>
      <c r="AL197" s="15">
        <f t="shared" si="115"/>
        <v>0</v>
      </c>
      <c r="AM197" s="45">
        <f t="shared" si="115"/>
        <v>0</v>
      </c>
      <c r="AN197" s="15">
        <f t="shared" si="115"/>
        <v>0</v>
      </c>
      <c r="AO197" s="15">
        <f t="shared" si="115"/>
        <v>0</v>
      </c>
      <c r="AP197" s="15">
        <f t="shared" si="115"/>
        <v>0</v>
      </c>
      <c r="AQ197" s="15">
        <f t="shared" si="115"/>
        <v>0</v>
      </c>
      <c r="AR197" s="15">
        <f t="shared" si="115"/>
        <v>0</v>
      </c>
      <c r="AS197" s="15">
        <f t="shared" si="115"/>
        <v>0</v>
      </c>
      <c r="AT197" s="15">
        <f t="shared" si="115"/>
        <v>0</v>
      </c>
      <c r="AU197" s="15">
        <f t="shared" si="115"/>
        <v>0</v>
      </c>
      <c r="AV197" s="15">
        <f t="shared" si="115"/>
        <v>0</v>
      </c>
      <c r="AW197" s="15">
        <f t="shared" si="115"/>
        <v>0</v>
      </c>
      <c r="AX197" s="15">
        <f t="shared" si="115"/>
        <v>0</v>
      </c>
    </row>
    <row r="198" spans="1:50" x14ac:dyDescent="0.2">
      <c r="A198" s="8"/>
      <c r="B198" s="14"/>
      <c r="C198" s="8" t="s">
        <v>32</v>
      </c>
      <c r="D198" s="8"/>
      <c r="E198" s="80"/>
      <c r="F198" s="10">
        <f t="shared" ref="F198:AX198" si="116">MIN(F184:F195)</f>
        <v>23685</v>
      </c>
      <c r="G198" s="10">
        <f t="shared" si="116"/>
        <v>12389</v>
      </c>
      <c r="H198" s="10">
        <f t="shared" si="116"/>
        <v>1.867862059351421</v>
      </c>
      <c r="I198" s="10">
        <f t="shared" si="116"/>
        <v>147.4</v>
      </c>
      <c r="J198" s="10">
        <f t="shared" si="116"/>
        <v>19.2</v>
      </c>
      <c r="K198" s="10">
        <f t="shared" si="116"/>
        <v>374.52</v>
      </c>
      <c r="L198" s="10">
        <f t="shared" si="116"/>
        <v>0</v>
      </c>
      <c r="M198" s="10">
        <f t="shared" si="116"/>
        <v>10149</v>
      </c>
      <c r="N198" s="10">
        <f t="shared" si="116"/>
        <v>9600</v>
      </c>
      <c r="O198" s="10">
        <f t="shared" si="116"/>
        <v>0</v>
      </c>
      <c r="P198" s="10">
        <f t="shared" si="116"/>
        <v>0</v>
      </c>
      <c r="Q198" s="10">
        <f t="shared" si="116"/>
        <v>0</v>
      </c>
      <c r="R198" s="10">
        <f t="shared" si="116"/>
        <v>0</v>
      </c>
      <c r="S198" s="10">
        <f t="shared" si="116"/>
        <v>0</v>
      </c>
      <c r="T198" s="10">
        <f t="shared" si="116"/>
        <v>0</v>
      </c>
      <c r="U198" s="10">
        <f t="shared" si="116"/>
        <v>0</v>
      </c>
      <c r="V198" s="10">
        <f t="shared" si="116"/>
        <v>0</v>
      </c>
      <c r="W198" s="10">
        <f t="shared" si="116"/>
        <v>0</v>
      </c>
      <c r="X198" s="10">
        <f t="shared" si="116"/>
        <v>0</v>
      </c>
      <c r="Y198" s="10">
        <f t="shared" si="116"/>
        <v>0</v>
      </c>
      <c r="Z198" s="10">
        <f t="shared" si="116"/>
        <v>0</v>
      </c>
      <c r="AA198" s="10">
        <f t="shared" si="116"/>
        <v>0</v>
      </c>
      <c r="AB198" s="10">
        <f t="shared" si="116"/>
        <v>0</v>
      </c>
      <c r="AC198" s="10">
        <f t="shared" si="116"/>
        <v>0</v>
      </c>
      <c r="AD198" s="10">
        <f t="shared" si="116"/>
        <v>0</v>
      </c>
      <c r="AE198" s="10">
        <f t="shared" si="116"/>
        <v>0</v>
      </c>
      <c r="AF198" s="10">
        <f t="shared" si="116"/>
        <v>0</v>
      </c>
      <c r="AG198" s="10">
        <f t="shared" si="116"/>
        <v>0</v>
      </c>
      <c r="AH198" s="10">
        <f t="shared" si="116"/>
        <v>0</v>
      </c>
      <c r="AI198" s="10">
        <f t="shared" si="116"/>
        <v>0</v>
      </c>
      <c r="AJ198" s="10">
        <f t="shared" si="116"/>
        <v>0</v>
      </c>
      <c r="AK198" s="10">
        <f t="shared" si="116"/>
        <v>0</v>
      </c>
      <c r="AL198" s="10">
        <f t="shared" si="116"/>
        <v>0</v>
      </c>
      <c r="AM198" s="46">
        <f t="shared" si="116"/>
        <v>0</v>
      </c>
      <c r="AN198" s="10">
        <f t="shared" si="116"/>
        <v>0</v>
      </c>
      <c r="AO198" s="10">
        <f t="shared" si="116"/>
        <v>0</v>
      </c>
      <c r="AP198" s="10">
        <f t="shared" si="116"/>
        <v>0</v>
      </c>
      <c r="AQ198" s="10">
        <f t="shared" si="116"/>
        <v>0</v>
      </c>
      <c r="AR198" s="10">
        <f t="shared" si="116"/>
        <v>0</v>
      </c>
      <c r="AS198" s="10">
        <f t="shared" si="116"/>
        <v>0</v>
      </c>
      <c r="AT198" s="10">
        <f t="shared" si="116"/>
        <v>0</v>
      </c>
      <c r="AU198" s="10">
        <f t="shared" si="116"/>
        <v>0</v>
      </c>
      <c r="AV198" s="10">
        <f t="shared" si="116"/>
        <v>0</v>
      </c>
      <c r="AW198" s="10">
        <f t="shared" si="116"/>
        <v>0</v>
      </c>
      <c r="AX198" s="10">
        <f t="shared" si="116"/>
        <v>0</v>
      </c>
    </row>
    <row r="199" spans="1:50" x14ac:dyDescent="0.2">
      <c r="A199" s="8"/>
      <c r="B199" s="14"/>
      <c r="C199" s="8" t="s">
        <v>33</v>
      </c>
      <c r="D199" s="8"/>
      <c r="E199" s="80"/>
      <c r="F199" s="10">
        <f t="shared" ref="F199:AX199" si="117">MAX(F184:F195)</f>
        <v>345809</v>
      </c>
      <c r="G199" s="10">
        <f t="shared" si="117"/>
        <v>134461</v>
      </c>
      <c r="H199" s="10">
        <f t="shared" si="117"/>
        <v>2.7270861007124743</v>
      </c>
      <c r="I199" s="10">
        <f t="shared" si="117"/>
        <v>4566.7</v>
      </c>
      <c r="J199" s="10">
        <f t="shared" si="117"/>
        <v>896.2</v>
      </c>
      <c r="K199" s="10">
        <f t="shared" si="117"/>
        <v>681</v>
      </c>
      <c r="L199" s="10">
        <f t="shared" si="117"/>
        <v>0</v>
      </c>
      <c r="M199" s="10">
        <f t="shared" si="117"/>
        <v>134461</v>
      </c>
      <c r="N199" s="10">
        <f t="shared" si="117"/>
        <v>128460</v>
      </c>
      <c r="O199" s="10">
        <f t="shared" si="117"/>
        <v>124758</v>
      </c>
      <c r="P199" s="10">
        <f t="shared" si="117"/>
        <v>84741</v>
      </c>
      <c r="Q199" s="10">
        <f t="shared" si="117"/>
        <v>134461</v>
      </c>
      <c r="R199" s="10">
        <f t="shared" si="117"/>
        <v>0</v>
      </c>
      <c r="S199" s="10">
        <f t="shared" si="117"/>
        <v>0</v>
      </c>
      <c r="T199" s="10">
        <f t="shared" si="117"/>
        <v>0</v>
      </c>
      <c r="U199" s="10">
        <f t="shared" si="117"/>
        <v>0</v>
      </c>
      <c r="V199" s="10">
        <f t="shared" si="117"/>
        <v>0</v>
      </c>
      <c r="W199" s="10">
        <f t="shared" si="117"/>
        <v>0</v>
      </c>
      <c r="X199" s="10">
        <f t="shared" si="117"/>
        <v>0</v>
      </c>
      <c r="Y199" s="10">
        <f t="shared" si="117"/>
        <v>0</v>
      </c>
      <c r="Z199" s="10">
        <f t="shared" si="117"/>
        <v>0</v>
      </c>
      <c r="AA199" s="10">
        <f t="shared" si="117"/>
        <v>0</v>
      </c>
      <c r="AB199" s="10">
        <f t="shared" si="117"/>
        <v>0</v>
      </c>
      <c r="AC199" s="10">
        <f t="shared" si="117"/>
        <v>0</v>
      </c>
      <c r="AD199" s="10">
        <f t="shared" si="117"/>
        <v>0</v>
      </c>
      <c r="AE199" s="10">
        <f t="shared" si="117"/>
        <v>0</v>
      </c>
      <c r="AF199" s="10">
        <f t="shared" si="117"/>
        <v>0</v>
      </c>
      <c r="AG199" s="10">
        <f t="shared" si="117"/>
        <v>0</v>
      </c>
      <c r="AH199" s="10">
        <f t="shared" si="117"/>
        <v>0</v>
      </c>
      <c r="AI199" s="10">
        <f t="shared" si="117"/>
        <v>0</v>
      </c>
      <c r="AJ199" s="10">
        <f t="shared" si="117"/>
        <v>0</v>
      </c>
      <c r="AK199" s="10">
        <f t="shared" si="117"/>
        <v>0</v>
      </c>
      <c r="AL199" s="10">
        <f t="shared" si="117"/>
        <v>0</v>
      </c>
      <c r="AM199" s="46">
        <f t="shared" si="117"/>
        <v>0</v>
      </c>
      <c r="AN199" s="10">
        <f t="shared" si="117"/>
        <v>0</v>
      </c>
      <c r="AO199" s="10">
        <f t="shared" si="117"/>
        <v>0</v>
      </c>
      <c r="AP199" s="10">
        <f t="shared" si="117"/>
        <v>0</v>
      </c>
      <c r="AQ199" s="10">
        <f t="shared" si="117"/>
        <v>0</v>
      </c>
      <c r="AR199" s="10">
        <f t="shared" si="117"/>
        <v>0</v>
      </c>
      <c r="AS199" s="10">
        <f t="shared" si="117"/>
        <v>0</v>
      </c>
      <c r="AT199" s="10">
        <f t="shared" si="117"/>
        <v>0</v>
      </c>
      <c r="AU199" s="10">
        <f t="shared" si="117"/>
        <v>0</v>
      </c>
      <c r="AV199" s="10">
        <f t="shared" si="117"/>
        <v>0</v>
      </c>
      <c r="AW199" s="10">
        <f t="shared" si="117"/>
        <v>0</v>
      </c>
      <c r="AX199" s="10">
        <f t="shared" si="117"/>
        <v>0</v>
      </c>
    </row>
    <row r="200" spans="1:50" x14ac:dyDescent="0.2">
      <c r="A200" s="8"/>
      <c r="B200" s="14"/>
      <c r="C200" s="8" t="s">
        <v>34</v>
      </c>
      <c r="D200" s="8"/>
      <c r="E200" s="80"/>
      <c r="F200" s="10">
        <f t="shared" ref="F200:AX200" si="118">AVERAGE(F184:F195)</f>
        <v>124075.75</v>
      </c>
      <c r="G200" s="10">
        <f t="shared" si="118"/>
        <v>52607.083333333336</v>
      </c>
      <c r="H200" s="10">
        <f t="shared" si="118"/>
        <v>2.3166072024439441</v>
      </c>
      <c r="I200" s="10">
        <f t="shared" si="118"/>
        <v>1404.3166666666666</v>
      </c>
      <c r="J200" s="10">
        <f t="shared" si="118"/>
        <v>229.15833333333333</v>
      </c>
      <c r="K200" s="10">
        <f t="shared" si="118"/>
        <v>498.73166666666663</v>
      </c>
      <c r="L200" s="10" t="e">
        <f t="shared" si="118"/>
        <v>#DIV/0!</v>
      </c>
      <c r="M200" s="10">
        <f t="shared" si="118"/>
        <v>47895.166666666664</v>
      </c>
      <c r="N200" s="10">
        <f t="shared" si="118"/>
        <v>47197.416666666664</v>
      </c>
      <c r="O200" s="10">
        <f t="shared" si="118"/>
        <v>25136.583333333332</v>
      </c>
      <c r="P200" s="10">
        <f t="shared" si="118"/>
        <v>14484.75</v>
      </c>
      <c r="Q200" s="10">
        <f t="shared" si="118"/>
        <v>50233.916666666664</v>
      </c>
      <c r="R200" s="10" t="e">
        <f t="shared" si="118"/>
        <v>#DIV/0!</v>
      </c>
      <c r="S200" s="10" t="e">
        <f t="shared" si="118"/>
        <v>#DIV/0!</v>
      </c>
      <c r="T200" s="10">
        <f t="shared" si="118"/>
        <v>0</v>
      </c>
      <c r="U200" s="10">
        <f t="shared" si="118"/>
        <v>0</v>
      </c>
      <c r="V200" s="10">
        <f t="shared" si="118"/>
        <v>0</v>
      </c>
      <c r="W200" s="10">
        <f t="shared" si="118"/>
        <v>0</v>
      </c>
      <c r="X200" s="10">
        <f t="shared" si="118"/>
        <v>0</v>
      </c>
      <c r="Y200" s="10">
        <f t="shared" si="118"/>
        <v>0</v>
      </c>
      <c r="Z200" s="10">
        <f t="shared" si="118"/>
        <v>0</v>
      </c>
      <c r="AA200" s="10">
        <f t="shared" si="118"/>
        <v>0</v>
      </c>
      <c r="AB200" s="10">
        <f t="shared" si="118"/>
        <v>0</v>
      </c>
      <c r="AC200" s="10">
        <f t="shared" si="118"/>
        <v>0</v>
      </c>
      <c r="AD200" s="10">
        <f t="shared" si="118"/>
        <v>0</v>
      </c>
      <c r="AE200" s="10">
        <f t="shared" si="118"/>
        <v>0</v>
      </c>
      <c r="AF200" s="10">
        <f t="shared" si="118"/>
        <v>0</v>
      </c>
      <c r="AG200" s="10">
        <f t="shared" si="118"/>
        <v>0</v>
      </c>
      <c r="AH200" s="10">
        <f t="shared" si="118"/>
        <v>0</v>
      </c>
      <c r="AI200" s="10">
        <f t="shared" si="118"/>
        <v>0</v>
      </c>
      <c r="AJ200" s="10">
        <f t="shared" si="118"/>
        <v>0</v>
      </c>
      <c r="AK200" s="10">
        <f t="shared" si="118"/>
        <v>0</v>
      </c>
      <c r="AL200" s="10">
        <f t="shared" si="118"/>
        <v>0</v>
      </c>
      <c r="AM200" s="46">
        <f t="shared" si="118"/>
        <v>0</v>
      </c>
      <c r="AN200" s="10">
        <f t="shared" si="118"/>
        <v>0</v>
      </c>
      <c r="AO200" s="10">
        <f t="shared" si="118"/>
        <v>0</v>
      </c>
      <c r="AP200" s="10">
        <f t="shared" si="118"/>
        <v>0</v>
      </c>
      <c r="AQ200" s="10">
        <f t="shared" si="118"/>
        <v>0</v>
      </c>
      <c r="AR200" s="10">
        <f t="shared" si="118"/>
        <v>0</v>
      </c>
      <c r="AS200" s="10">
        <f t="shared" si="118"/>
        <v>0</v>
      </c>
      <c r="AT200" s="10">
        <f t="shared" si="118"/>
        <v>0</v>
      </c>
      <c r="AU200" s="10">
        <f t="shared" si="118"/>
        <v>0</v>
      </c>
      <c r="AV200" s="10">
        <f t="shared" si="118"/>
        <v>0</v>
      </c>
      <c r="AW200" s="10">
        <f t="shared" si="118"/>
        <v>0</v>
      </c>
      <c r="AX200" s="10">
        <f t="shared" si="118"/>
        <v>0</v>
      </c>
    </row>
    <row r="201" spans="1:50" ht="13.5" thickBot="1" x14ac:dyDescent="0.25">
      <c r="A201" s="16"/>
      <c r="B201" s="17"/>
      <c r="C201" s="16" t="s">
        <v>35</v>
      </c>
      <c r="D201" s="16"/>
      <c r="E201" s="80"/>
      <c r="F201" s="18">
        <f t="shared" ref="F201:AX201" si="119">MEDIAN(F184:F195)</f>
        <v>81008.5</v>
      </c>
      <c r="G201" s="18">
        <f t="shared" si="119"/>
        <v>36288</v>
      </c>
      <c r="H201" s="18">
        <f t="shared" si="119"/>
        <v>2.4065376751605898</v>
      </c>
      <c r="I201" s="18">
        <f t="shared" si="119"/>
        <v>771.2</v>
      </c>
      <c r="J201" s="18">
        <f t="shared" si="119"/>
        <v>148.80000000000001</v>
      </c>
      <c r="K201" s="18">
        <f t="shared" si="119"/>
        <v>482</v>
      </c>
      <c r="L201" s="18" t="e">
        <f t="shared" si="119"/>
        <v>#NUM!</v>
      </c>
      <c r="M201" s="18">
        <f t="shared" si="119"/>
        <v>30648.5</v>
      </c>
      <c r="N201" s="18">
        <f t="shared" si="119"/>
        <v>30763.5</v>
      </c>
      <c r="O201" s="18">
        <f t="shared" si="119"/>
        <v>16202</v>
      </c>
      <c r="P201" s="18">
        <f t="shared" si="119"/>
        <v>0</v>
      </c>
      <c r="Q201" s="18">
        <f t="shared" si="119"/>
        <v>36288</v>
      </c>
      <c r="R201" s="18" t="e">
        <f t="shared" si="119"/>
        <v>#NUM!</v>
      </c>
      <c r="S201" s="18" t="e">
        <f t="shared" si="119"/>
        <v>#NUM!</v>
      </c>
      <c r="T201" s="18">
        <f t="shared" si="119"/>
        <v>0</v>
      </c>
      <c r="U201" s="18">
        <f t="shared" si="119"/>
        <v>0</v>
      </c>
      <c r="V201" s="18">
        <f t="shared" si="119"/>
        <v>0</v>
      </c>
      <c r="W201" s="18">
        <f t="shared" si="119"/>
        <v>0</v>
      </c>
      <c r="X201" s="18">
        <f t="shared" si="119"/>
        <v>0</v>
      </c>
      <c r="Y201" s="18">
        <f t="shared" si="119"/>
        <v>0</v>
      </c>
      <c r="Z201" s="18">
        <f t="shared" si="119"/>
        <v>0</v>
      </c>
      <c r="AA201" s="18">
        <f t="shared" si="119"/>
        <v>0</v>
      </c>
      <c r="AB201" s="18">
        <f t="shared" si="119"/>
        <v>0</v>
      </c>
      <c r="AC201" s="18">
        <f t="shared" si="119"/>
        <v>0</v>
      </c>
      <c r="AD201" s="18">
        <f t="shared" si="119"/>
        <v>0</v>
      </c>
      <c r="AE201" s="18">
        <f t="shared" si="119"/>
        <v>0</v>
      </c>
      <c r="AF201" s="18">
        <f t="shared" si="119"/>
        <v>0</v>
      </c>
      <c r="AG201" s="18">
        <f t="shared" si="119"/>
        <v>0</v>
      </c>
      <c r="AH201" s="18">
        <f t="shared" si="119"/>
        <v>0</v>
      </c>
      <c r="AI201" s="18">
        <f t="shared" si="119"/>
        <v>0</v>
      </c>
      <c r="AJ201" s="18">
        <f t="shared" si="119"/>
        <v>0</v>
      </c>
      <c r="AK201" s="18">
        <f t="shared" si="119"/>
        <v>0</v>
      </c>
      <c r="AL201" s="18">
        <f t="shared" si="119"/>
        <v>0</v>
      </c>
      <c r="AM201" s="47">
        <f t="shared" si="119"/>
        <v>0</v>
      </c>
      <c r="AN201" s="18">
        <f t="shared" si="119"/>
        <v>0</v>
      </c>
      <c r="AO201" s="18">
        <f t="shared" si="119"/>
        <v>0</v>
      </c>
      <c r="AP201" s="18">
        <f t="shared" si="119"/>
        <v>0</v>
      </c>
      <c r="AQ201" s="18">
        <f t="shared" si="119"/>
        <v>0</v>
      </c>
      <c r="AR201" s="18">
        <f t="shared" si="119"/>
        <v>0</v>
      </c>
      <c r="AS201" s="18">
        <f t="shared" si="119"/>
        <v>0</v>
      </c>
      <c r="AT201" s="18">
        <f t="shared" si="119"/>
        <v>0</v>
      </c>
      <c r="AU201" s="18">
        <f t="shared" si="119"/>
        <v>0</v>
      </c>
      <c r="AV201" s="18">
        <f t="shared" si="119"/>
        <v>0</v>
      </c>
      <c r="AW201" s="18">
        <f t="shared" si="119"/>
        <v>0</v>
      </c>
      <c r="AX201" s="18">
        <f t="shared" si="119"/>
        <v>0</v>
      </c>
    </row>
    <row r="202" spans="1:50" ht="13.5" thickTop="1" x14ac:dyDescent="0.2">
      <c r="B202" s="48" t="s">
        <v>27</v>
      </c>
      <c r="F202"/>
      <c r="G202"/>
      <c r="H202"/>
      <c r="I202"/>
      <c r="J202"/>
      <c r="K202"/>
    </row>
    <row r="203" spans="1:50" x14ac:dyDescent="0.2">
      <c r="B203" s="48"/>
    </row>
    <row r="205" spans="1:50" ht="15.75" x14ac:dyDescent="0.25">
      <c r="B205" s="86" t="s">
        <v>11</v>
      </c>
      <c r="C205" s="87"/>
      <c r="D205" s="87"/>
      <c r="E205" s="88"/>
      <c r="F205" s="52"/>
      <c r="G205" s="52"/>
      <c r="H205" s="52"/>
      <c r="I205" s="52"/>
      <c r="J205" s="52"/>
      <c r="K205" s="52"/>
    </row>
    <row r="206" spans="1:50" x14ac:dyDescent="0.2">
      <c r="A206" s="8">
        <v>10250</v>
      </c>
      <c r="B206" s="89" t="str">
        <f t="shared" ref="B206:B224" si="120">VLOOKUP($A206,$A$5:$K$132,2,FALSE)</f>
        <v>Ballina</v>
      </c>
      <c r="C206" s="9" t="str">
        <f t="shared" ref="C206:C224" si="121">VLOOKUP($A206,$A$5:$K$133,3,FALSE)</f>
        <v>NEWF</v>
      </c>
      <c r="D206" s="51" t="str">
        <f t="shared" ref="D206:D224" si="122">VLOOKUP($A206,$A$5:$K$133,4,FALSE)</f>
        <v>R</v>
      </c>
      <c r="E206" s="10" t="str">
        <f t="shared" ref="E206:E224" si="123">VLOOKUP($A206,$A$5:$AX$132,5,FALSE)</f>
        <v>NRJO</v>
      </c>
      <c r="F206" s="10">
        <f t="shared" ref="F206:F224" si="124">VLOOKUP($A206,$A$5:$AX$132,6,FALSE)</f>
        <v>45217</v>
      </c>
      <c r="G206" s="10">
        <f t="shared" ref="G206:G224" si="125">VLOOKUP($A206,$A$5:$AX$132,7,FALSE)</f>
        <v>19922</v>
      </c>
      <c r="H206" s="10">
        <f t="shared" ref="H206:H224" si="126">VLOOKUP($A206,$A$5:$AX$132,8,FALSE)</f>
        <v>2.2697018371649431</v>
      </c>
      <c r="I206" s="10">
        <f t="shared" ref="I206:I224" si="127">VLOOKUP($A206,$A$5:$AX$132,9,FALSE)</f>
        <v>484.9</v>
      </c>
      <c r="J206" s="10">
        <f t="shared" ref="J206:J224" si="128">VLOOKUP($A206,$A$5:$AX$132,10,FALSE)</f>
        <v>93.2</v>
      </c>
      <c r="K206" s="10">
        <f t="shared" ref="K206:K224" si="129">VLOOKUP($A206,$A$5:$AX$132,11,FALSE)</f>
        <v>407</v>
      </c>
      <c r="L206" s="10" t="str">
        <f t="shared" ref="L206:L224" si="130">VLOOKUP($A206,$A$4:$AX$132,12,FALSE)</f>
        <v>Y</v>
      </c>
      <c r="M206" s="10">
        <f t="shared" ref="M206:M224" si="131">VLOOKUP($A206,$A$4:$AX$132,13,FALSE)</f>
        <v>18740</v>
      </c>
      <c r="N206" s="10">
        <f t="shared" ref="N206:N224" si="132">VLOOKUP($A206,$A$4:$AX$132,14,FALSE)</f>
        <v>17191</v>
      </c>
      <c r="O206" s="10">
        <f t="shared" ref="O206:O224" si="133">VLOOKUP($A206,$A$4:$AX$132,15,FALSE)</f>
        <v>0</v>
      </c>
      <c r="P206" s="10">
        <f t="shared" ref="P206:P224" si="134">VLOOKUP($A206,$A$4:$AX$132,16,FALSE)</f>
        <v>14700</v>
      </c>
      <c r="Q206" s="10">
        <f t="shared" ref="Q206:Q224" si="135">VLOOKUP($A206,$A$4:$AX$132,17,FALSE)</f>
        <v>0</v>
      </c>
      <c r="R206" s="10" t="str">
        <f t="shared" ref="R206:R224" si="136">VLOOKUP($A206,$A$4:$AX$132,18,FALSE)</f>
        <v>Yes</v>
      </c>
      <c r="S206" s="10" t="str">
        <f t="shared" ref="S206:S224" si="137">VLOOKUP($A206,$A$4:$AX$132,19,FALSE)</f>
        <v>Ballina Waste Management Centre, 167 Southern Cross Drive, Ballina, NSW, 2478</v>
      </c>
      <c r="T206" s="10">
        <f t="shared" ref="T206:T224" si="138">VLOOKUP($A206,$A$4:$AX$132,20,FALSE)</f>
        <v>0</v>
      </c>
      <c r="U206" s="10">
        <f t="shared" ref="U206:U224" si="139">VLOOKUP($A206,$A$4:$AX$132,21,FALSE)</f>
        <v>0</v>
      </c>
      <c r="V206" s="10">
        <f t="shared" ref="V206:V224" si="140">VLOOKUP($A206,$A$4:$AX$132,22,FALSE)</f>
        <v>0</v>
      </c>
      <c r="W206" s="10">
        <f t="shared" ref="W206:W224" si="141">VLOOKUP($A206,$A$4:$AX$132,23,FALSE)</f>
        <v>0</v>
      </c>
      <c r="X206" s="10">
        <f t="shared" ref="X206:X224" si="142">VLOOKUP($A206,$A$4:$AX$132,24,FALSE)</f>
        <v>0</v>
      </c>
      <c r="Y206" s="10">
        <f t="shared" ref="Y206:Y224" si="143">VLOOKUP($A206,$A$4:$AX$132,25,FALSE)</f>
        <v>0</v>
      </c>
      <c r="Z206" s="10">
        <f t="shared" ref="Z206:Z224" si="144">VLOOKUP($A206,$A$4:$AX$132,26,FALSE)</f>
        <v>0</v>
      </c>
      <c r="AA206" s="10">
        <f t="shared" ref="AA206:AA224" si="145">VLOOKUP($A206,$A$4:$AX$132,27,FALSE)</f>
        <v>0</v>
      </c>
      <c r="AB206" s="10">
        <f t="shared" ref="AB206:AB224" si="146">VLOOKUP($A206,$A$4:$AX$132,28,FALSE)</f>
        <v>0</v>
      </c>
      <c r="AC206" s="10">
        <f t="shared" ref="AC206:AC224" si="147">VLOOKUP($A206,$A$4:$AX$132,29,FALSE)</f>
        <v>0</v>
      </c>
      <c r="AD206" s="10">
        <f t="shared" ref="AD206:AD224" si="148">VLOOKUP($A206,$A$4:$AX$132,30,FALSE)</f>
        <v>0</v>
      </c>
      <c r="AE206" s="10">
        <f t="shared" ref="AE206:AE224" si="149">VLOOKUP($A206,$A$4:$AX$132,31,FALSE)</f>
        <v>0</v>
      </c>
      <c r="AF206" s="10">
        <f t="shared" ref="AF206:AF224" si="150">VLOOKUP($A206,$A$4:$AX$132,32,FALSE)</f>
        <v>0</v>
      </c>
      <c r="AG206" s="10">
        <f t="shared" ref="AG206:AG224" si="151">VLOOKUP($A206,$A$4:$AX$132,33,FALSE)</f>
        <v>0</v>
      </c>
      <c r="AH206" s="10">
        <f t="shared" ref="AH206:AH224" si="152">VLOOKUP($A206,$A$4:$AX$132,34,FALSE)</f>
        <v>0</v>
      </c>
      <c r="AI206" s="10">
        <f t="shared" ref="AI206:AI224" si="153">VLOOKUP($A206,$A$4:$AX$132,35,FALSE)</f>
        <v>0</v>
      </c>
      <c r="AJ206" s="10">
        <f t="shared" ref="AJ206:AJ224" si="154">VLOOKUP($A206,$A$4:$AX$132,36,FALSE)</f>
        <v>0</v>
      </c>
      <c r="AK206" s="10">
        <f t="shared" ref="AK206:AK224" si="155">VLOOKUP($A206,$A$4:$AX$132,37,FALSE)</f>
        <v>0</v>
      </c>
      <c r="AL206" s="10">
        <f t="shared" ref="AL206:AL224" si="156">VLOOKUP($A206,$A$4:$AX$132,38,FALSE)</f>
        <v>0</v>
      </c>
      <c r="AM206" s="10">
        <f t="shared" ref="AM206:AM224" si="157">VLOOKUP($A206,$A$4:$AX$132,39,FALSE)</f>
        <v>0</v>
      </c>
      <c r="AN206" s="46">
        <f t="shared" ref="AN206:AN224" si="158">VLOOKUP($A206,$A$4:$AX$132,40,FALSE)</f>
        <v>0</v>
      </c>
      <c r="AO206" s="10">
        <f t="shared" ref="AO206:AO224" si="159">VLOOKUP($A206,$A$4:$AX$132,41,FALSE)</f>
        <v>0</v>
      </c>
      <c r="AP206" s="10">
        <f t="shared" ref="AP206:AP224" si="160">VLOOKUP($A206,$A$4:$AX$132,42,FALSE)</f>
        <v>0</v>
      </c>
      <c r="AQ206" s="10">
        <f t="shared" ref="AQ206:AQ224" si="161">VLOOKUP($A206,$A$4:$AX$132,43,FALSE)</f>
        <v>0</v>
      </c>
      <c r="AR206" s="10">
        <f t="shared" ref="AR206:AR224" si="162">VLOOKUP($A206,$A$4:$AX$132,44,FALSE)</f>
        <v>0</v>
      </c>
      <c r="AS206" s="10">
        <f t="shared" ref="AS206:AS224" si="163">VLOOKUP($A206,$A$4:$AX$132,45,FALSE)</f>
        <v>0</v>
      </c>
      <c r="AT206" s="10">
        <f t="shared" ref="AT206:AT224" si="164">VLOOKUP($A206,$A$4:$AX$132,46,FALSE)</f>
        <v>0</v>
      </c>
      <c r="AU206" s="10">
        <f t="shared" ref="AU206:AU224" si="165">VLOOKUP($A206,$A$4:$AX$132,47,FALSE)</f>
        <v>0</v>
      </c>
      <c r="AV206" s="10">
        <f t="shared" ref="AV206:AV224" si="166">VLOOKUP($A206,$A$4:$AX$132,48,FALSE)</f>
        <v>0</v>
      </c>
      <c r="AW206" s="10">
        <f t="shared" ref="AW206:AW224" si="167">VLOOKUP($A206,$A$4:$AX$132,49,FALSE)</f>
        <v>0</v>
      </c>
      <c r="AX206" s="10">
        <f t="shared" ref="AX206:AX224" si="168">VLOOKUP($A206,$A$4:$AX$132,50,FALSE)</f>
        <v>0</v>
      </c>
    </row>
    <row r="207" spans="1:50" x14ac:dyDescent="0.2">
      <c r="A207" s="8">
        <v>10600</v>
      </c>
      <c r="B207" s="89" t="str">
        <f t="shared" si="120"/>
        <v>Bellingen</v>
      </c>
      <c r="C207" s="9" t="str">
        <f t="shared" si="121"/>
        <v>MidWaste</v>
      </c>
      <c r="D207" s="51" t="str">
        <f t="shared" si="122"/>
        <v>R</v>
      </c>
      <c r="E207" s="10" t="str">
        <f t="shared" si="123"/>
        <v>MNCJO</v>
      </c>
      <c r="F207" s="10">
        <f t="shared" si="124"/>
        <v>13141</v>
      </c>
      <c r="G207" s="10">
        <f t="shared" si="125"/>
        <v>6000</v>
      </c>
      <c r="H207" s="10">
        <f t="shared" si="126"/>
        <v>2.1901666666666668</v>
      </c>
      <c r="I207" s="10">
        <f t="shared" si="127"/>
        <v>1600.4</v>
      </c>
      <c r="J207" s="10">
        <f t="shared" si="128"/>
        <v>8.1999999999999993</v>
      </c>
      <c r="K207" s="10">
        <f t="shared" si="129"/>
        <v>764</v>
      </c>
      <c r="L207" s="10" t="str">
        <f t="shared" si="130"/>
        <v>Y</v>
      </c>
      <c r="M207" s="10">
        <f t="shared" si="131"/>
        <v>4343</v>
      </c>
      <c r="N207" s="10">
        <f t="shared" si="132"/>
        <v>4343</v>
      </c>
      <c r="O207" s="10">
        <f t="shared" si="133"/>
        <v>0</v>
      </c>
      <c r="P207" s="10">
        <f t="shared" si="134"/>
        <v>4343</v>
      </c>
      <c r="Q207" s="10">
        <f t="shared" si="135"/>
        <v>6000</v>
      </c>
      <c r="R207" s="10" t="str">
        <f t="shared" si="136"/>
        <v>No</v>
      </c>
      <c r="S207" s="10" t="str">
        <f t="shared" si="137"/>
        <v xml:space="preserve">Dorrigo WMC </v>
      </c>
      <c r="T207" s="10" t="str">
        <f t="shared" si="138"/>
        <v>Raleigh WMC</v>
      </c>
      <c r="U207" s="10" t="str">
        <f t="shared" si="139"/>
        <v xml:space="preserve">Bellingen Transfer station </v>
      </c>
      <c r="V207" s="10">
        <f t="shared" si="140"/>
        <v>0</v>
      </c>
      <c r="W207" s="10">
        <f t="shared" si="141"/>
        <v>0</v>
      </c>
      <c r="X207" s="10">
        <f t="shared" si="142"/>
        <v>0</v>
      </c>
      <c r="Y207" s="10">
        <f t="shared" si="143"/>
        <v>0</v>
      </c>
      <c r="Z207" s="10">
        <f t="shared" si="144"/>
        <v>0</v>
      </c>
      <c r="AA207" s="10">
        <f t="shared" si="145"/>
        <v>0</v>
      </c>
      <c r="AB207" s="10">
        <f t="shared" si="146"/>
        <v>0</v>
      </c>
      <c r="AC207" s="10">
        <f t="shared" si="147"/>
        <v>0</v>
      </c>
      <c r="AD207" s="10">
        <f t="shared" si="148"/>
        <v>0</v>
      </c>
      <c r="AE207" s="10">
        <f t="shared" si="149"/>
        <v>0</v>
      </c>
      <c r="AF207" s="10">
        <f t="shared" si="150"/>
        <v>0</v>
      </c>
      <c r="AG207" s="10">
        <f t="shared" si="151"/>
        <v>0</v>
      </c>
      <c r="AH207" s="10">
        <f t="shared" si="152"/>
        <v>0</v>
      </c>
      <c r="AI207" s="10">
        <f t="shared" si="153"/>
        <v>0</v>
      </c>
      <c r="AJ207" s="10">
        <f t="shared" si="154"/>
        <v>0</v>
      </c>
      <c r="AK207" s="10">
        <f t="shared" si="155"/>
        <v>0</v>
      </c>
      <c r="AL207" s="10">
        <f t="shared" si="156"/>
        <v>0</v>
      </c>
      <c r="AM207" s="10">
        <f t="shared" si="157"/>
        <v>0</v>
      </c>
      <c r="AN207" s="46">
        <f t="shared" si="158"/>
        <v>0</v>
      </c>
      <c r="AO207" s="10">
        <f t="shared" si="159"/>
        <v>0</v>
      </c>
      <c r="AP207" s="10">
        <f t="shared" si="160"/>
        <v>0</v>
      </c>
      <c r="AQ207" s="10">
        <f t="shared" si="161"/>
        <v>0</v>
      </c>
      <c r="AR207" s="10">
        <f t="shared" si="162"/>
        <v>0</v>
      </c>
      <c r="AS207" s="10">
        <f t="shared" si="163"/>
        <v>0</v>
      </c>
      <c r="AT207" s="10">
        <f t="shared" si="164"/>
        <v>0</v>
      </c>
      <c r="AU207" s="10">
        <f t="shared" si="165"/>
        <v>0</v>
      </c>
      <c r="AV207" s="10">
        <f t="shared" si="166"/>
        <v>0</v>
      </c>
      <c r="AW207" s="10">
        <f t="shared" si="167"/>
        <v>0</v>
      </c>
      <c r="AX207" s="10">
        <f t="shared" si="168"/>
        <v>0</v>
      </c>
    </row>
    <row r="208" spans="1:50" x14ac:dyDescent="0.2">
      <c r="A208" s="8">
        <v>10900</v>
      </c>
      <c r="B208" s="89" t="str">
        <f t="shared" si="120"/>
        <v>Blue Mountains</v>
      </c>
      <c r="C208" s="9" t="str">
        <f t="shared" si="121"/>
        <v>WSROC</v>
      </c>
      <c r="D208" s="51" t="str">
        <f t="shared" si="122"/>
        <v>R</v>
      </c>
      <c r="E208" s="10">
        <f t="shared" si="123"/>
        <v>0</v>
      </c>
      <c r="F208" s="10">
        <f t="shared" si="124"/>
        <v>79195</v>
      </c>
      <c r="G208" s="10">
        <f t="shared" si="125"/>
        <v>38668</v>
      </c>
      <c r="H208" s="10">
        <f t="shared" si="126"/>
        <v>2.0480759284162615</v>
      </c>
      <c r="I208" s="10">
        <f t="shared" si="127"/>
        <v>1431.1</v>
      </c>
      <c r="J208" s="10">
        <f t="shared" si="128"/>
        <v>55.3</v>
      </c>
      <c r="K208" s="10">
        <f t="shared" si="129"/>
        <v>439</v>
      </c>
      <c r="L208" s="10" t="str">
        <f t="shared" si="130"/>
        <v>Y</v>
      </c>
      <c r="M208" s="10">
        <f t="shared" si="131"/>
        <v>33684</v>
      </c>
      <c r="N208" s="10">
        <f t="shared" si="132"/>
        <v>31953</v>
      </c>
      <c r="O208" s="10">
        <f t="shared" si="133"/>
        <v>33533</v>
      </c>
      <c r="P208" s="10">
        <f t="shared" si="134"/>
        <v>0</v>
      </c>
      <c r="Q208" s="10">
        <f t="shared" si="135"/>
        <v>38668</v>
      </c>
      <c r="R208" s="10" t="str">
        <f t="shared" si="136"/>
        <v>Yes</v>
      </c>
      <c r="S208" s="10" t="str">
        <f t="shared" si="137"/>
        <v>Blaxland Waste Management Facility</v>
      </c>
      <c r="T208" s="10" t="str">
        <f t="shared" si="138"/>
        <v>Katoomba Waste Management Facility</v>
      </c>
      <c r="U208" s="10">
        <f t="shared" si="139"/>
        <v>0</v>
      </c>
      <c r="V208" s="10">
        <f t="shared" si="140"/>
        <v>0</v>
      </c>
      <c r="W208" s="10">
        <f t="shared" si="141"/>
        <v>0</v>
      </c>
      <c r="X208" s="10">
        <f t="shared" si="142"/>
        <v>0</v>
      </c>
      <c r="Y208" s="10">
        <f t="shared" si="143"/>
        <v>0</v>
      </c>
      <c r="Z208" s="10">
        <f t="shared" si="144"/>
        <v>0</v>
      </c>
      <c r="AA208" s="10">
        <f t="shared" si="145"/>
        <v>0</v>
      </c>
      <c r="AB208" s="10">
        <f t="shared" si="146"/>
        <v>0</v>
      </c>
      <c r="AC208" s="10">
        <f t="shared" si="147"/>
        <v>0</v>
      </c>
      <c r="AD208" s="10">
        <f t="shared" si="148"/>
        <v>0</v>
      </c>
      <c r="AE208" s="10">
        <f t="shared" si="149"/>
        <v>0</v>
      </c>
      <c r="AF208" s="10">
        <f t="shared" si="150"/>
        <v>0</v>
      </c>
      <c r="AG208" s="10">
        <f t="shared" si="151"/>
        <v>0</v>
      </c>
      <c r="AH208" s="10">
        <f t="shared" si="152"/>
        <v>0</v>
      </c>
      <c r="AI208" s="10">
        <f t="shared" si="153"/>
        <v>0</v>
      </c>
      <c r="AJ208" s="10">
        <f t="shared" si="154"/>
        <v>0</v>
      </c>
      <c r="AK208" s="10">
        <f t="shared" si="155"/>
        <v>0</v>
      </c>
      <c r="AL208" s="10">
        <f t="shared" si="156"/>
        <v>0</v>
      </c>
      <c r="AM208" s="10">
        <f t="shared" si="157"/>
        <v>0</v>
      </c>
      <c r="AN208" s="46">
        <f t="shared" si="158"/>
        <v>0</v>
      </c>
      <c r="AO208" s="10">
        <f t="shared" si="159"/>
        <v>0</v>
      </c>
      <c r="AP208" s="10">
        <f t="shared" si="160"/>
        <v>0</v>
      </c>
      <c r="AQ208" s="10">
        <f t="shared" si="161"/>
        <v>0</v>
      </c>
      <c r="AR208" s="10">
        <f t="shared" si="162"/>
        <v>0</v>
      </c>
      <c r="AS208" s="10">
        <f t="shared" si="163"/>
        <v>0</v>
      </c>
      <c r="AT208" s="10">
        <f t="shared" si="164"/>
        <v>0</v>
      </c>
      <c r="AU208" s="10">
        <f t="shared" si="165"/>
        <v>0</v>
      </c>
      <c r="AV208" s="10">
        <f t="shared" si="166"/>
        <v>0</v>
      </c>
      <c r="AW208" s="10">
        <f t="shared" si="167"/>
        <v>0</v>
      </c>
      <c r="AX208" s="10">
        <f t="shared" si="168"/>
        <v>0</v>
      </c>
    </row>
    <row r="209" spans="1:50" x14ac:dyDescent="0.2">
      <c r="A209" s="8">
        <v>11350</v>
      </c>
      <c r="B209" s="89" t="str">
        <f t="shared" si="120"/>
        <v>Byron</v>
      </c>
      <c r="C209" s="9" t="str">
        <f t="shared" si="121"/>
        <v>NEWF</v>
      </c>
      <c r="D209" s="51" t="str">
        <f t="shared" si="122"/>
        <v>R</v>
      </c>
      <c r="E209" s="10" t="str">
        <f t="shared" si="123"/>
        <v>NRJO</v>
      </c>
      <c r="F209" s="10">
        <f t="shared" si="124"/>
        <v>35773</v>
      </c>
      <c r="G209" s="10">
        <f t="shared" si="125"/>
        <v>14537</v>
      </c>
      <c r="H209" s="10">
        <f t="shared" si="126"/>
        <v>2.4608241040104559</v>
      </c>
      <c r="I209" s="10">
        <f t="shared" si="127"/>
        <v>565.79999999999995</v>
      </c>
      <c r="J209" s="10">
        <f t="shared" si="128"/>
        <v>63.2</v>
      </c>
      <c r="K209" s="10">
        <f t="shared" si="129"/>
        <v>402</v>
      </c>
      <c r="L209" s="10" t="str">
        <f t="shared" si="130"/>
        <v>Y</v>
      </c>
      <c r="M209" s="10">
        <f t="shared" si="131"/>
        <v>14175</v>
      </c>
      <c r="N209" s="10">
        <f t="shared" si="132"/>
        <v>14109</v>
      </c>
      <c r="O209" s="10">
        <f t="shared" si="133"/>
        <v>0</v>
      </c>
      <c r="P209" s="10">
        <f t="shared" si="134"/>
        <v>10866</v>
      </c>
      <c r="Q209" s="10">
        <f t="shared" si="135"/>
        <v>14537</v>
      </c>
      <c r="R209" s="10" t="str">
        <f t="shared" si="136"/>
        <v>Yes</v>
      </c>
      <c r="S209" s="10" t="str">
        <f t="shared" si="137"/>
        <v>Byron Resource Recovery Centre, 115 The Manse Rd Myocum 2482</v>
      </c>
      <c r="T209" s="10">
        <f t="shared" si="138"/>
        <v>0</v>
      </c>
      <c r="U209" s="10">
        <f t="shared" si="139"/>
        <v>0</v>
      </c>
      <c r="V209" s="10">
        <f t="shared" si="140"/>
        <v>0</v>
      </c>
      <c r="W209" s="10">
        <f t="shared" si="141"/>
        <v>0</v>
      </c>
      <c r="X209" s="10">
        <f t="shared" si="142"/>
        <v>0</v>
      </c>
      <c r="Y209" s="10">
        <f t="shared" si="143"/>
        <v>0</v>
      </c>
      <c r="Z209" s="10">
        <f t="shared" si="144"/>
        <v>0</v>
      </c>
      <c r="AA209" s="10">
        <f t="shared" si="145"/>
        <v>0</v>
      </c>
      <c r="AB209" s="10">
        <f t="shared" si="146"/>
        <v>0</v>
      </c>
      <c r="AC209" s="10">
        <f t="shared" si="147"/>
        <v>0</v>
      </c>
      <c r="AD209" s="10">
        <f t="shared" si="148"/>
        <v>0</v>
      </c>
      <c r="AE209" s="10">
        <f t="shared" si="149"/>
        <v>0</v>
      </c>
      <c r="AF209" s="10">
        <f t="shared" si="150"/>
        <v>0</v>
      </c>
      <c r="AG209" s="10">
        <f t="shared" si="151"/>
        <v>0</v>
      </c>
      <c r="AH209" s="10">
        <f t="shared" si="152"/>
        <v>0</v>
      </c>
      <c r="AI209" s="10">
        <f t="shared" si="153"/>
        <v>0</v>
      </c>
      <c r="AJ209" s="10">
        <f t="shared" si="154"/>
        <v>0</v>
      </c>
      <c r="AK209" s="10">
        <f t="shared" si="155"/>
        <v>0</v>
      </c>
      <c r="AL209" s="10">
        <f t="shared" si="156"/>
        <v>0</v>
      </c>
      <c r="AM209" s="10">
        <f t="shared" si="157"/>
        <v>0</v>
      </c>
      <c r="AN209" s="46">
        <f t="shared" si="158"/>
        <v>0</v>
      </c>
      <c r="AO209" s="10">
        <f t="shared" si="159"/>
        <v>0</v>
      </c>
      <c r="AP209" s="10">
        <f t="shared" si="160"/>
        <v>0</v>
      </c>
      <c r="AQ209" s="10">
        <f t="shared" si="161"/>
        <v>0</v>
      </c>
      <c r="AR209" s="10">
        <f t="shared" si="162"/>
        <v>0</v>
      </c>
      <c r="AS209" s="10">
        <f t="shared" si="163"/>
        <v>0</v>
      </c>
      <c r="AT209" s="10">
        <f t="shared" si="164"/>
        <v>0</v>
      </c>
      <c r="AU209" s="10">
        <f t="shared" si="165"/>
        <v>0</v>
      </c>
      <c r="AV209" s="10">
        <f t="shared" si="166"/>
        <v>0</v>
      </c>
      <c r="AW209" s="10">
        <f t="shared" si="167"/>
        <v>0</v>
      </c>
      <c r="AX209" s="10">
        <f t="shared" si="168"/>
        <v>0</v>
      </c>
    </row>
    <row r="210" spans="1:50" x14ac:dyDescent="0.2">
      <c r="A210" s="8">
        <v>11730</v>
      </c>
      <c r="B210" s="89" t="str">
        <f t="shared" si="120"/>
        <v>Clarence Valley</v>
      </c>
      <c r="C210" s="9" t="str">
        <f t="shared" si="121"/>
        <v>NEWF</v>
      </c>
      <c r="D210" s="51" t="str">
        <f t="shared" si="122"/>
        <v>R</v>
      </c>
      <c r="E210" s="10">
        <f t="shared" si="123"/>
        <v>0</v>
      </c>
      <c r="F210" s="10">
        <f t="shared" si="124"/>
        <v>51730</v>
      </c>
      <c r="G210" s="10">
        <f t="shared" si="125"/>
        <v>26792</v>
      </c>
      <c r="H210" s="10">
        <f t="shared" si="126"/>
        <v>1.9308002388772767</v>
      </c>
      <c r="I210" s="10">
        <f t="shared" si="127"/>
        <v>10428.700000000001</v>
      </c>
      <c r="J210" s="10">
        <f t="shared" si="128"/>
        <v>5</v>
      </c>
      <c r="K210" s="10">
        <f t="shared" si="129"/>
        <v>344.5</v>
      </c>
      <c r="L210" s="10" t="str">
        <f t="shared" si="130"/>
        <v>Y</v>
      </c>
      <c r="M210" s="10">
        <f t="shared" si="131"/>
        <v>22713</v>
      </c>
      <c r="N210" s="10">
        <f t="shared" si="132"/>
        <v>22282</v>
      </c>
      <c r="O210" s="10">
        <f t="shared" si="133"/>
        <v>0</v>
      </c>
      <c r="P210" s="10">
        <f t="shared" si="134"/>
        <v>18212</v>
      </c>
      <c r="Q210" s="10">
        <f t="shared" si="135"/>
        <v>26792</v>
      </c>
      <c r="R210" s="10" t="str">
        <f t="shared" si="136"/>
        <v>Yes</v>
      </c>
      <c r="S210" s="10" t="str">
        <f t="shared" si="137"/>
        <v>Grafton Waste Transfer Station</v>
      </c>
      <c r="T210" s="10" t="str">
        <f t="shared" si="138"/>
        <v>Maclean Waste Transfer Station</v>
      </c>
      <c r="U210" s="10" t="str">
        <f t="shared" si="139"/>
        <v>Tyringham Waste Transfer Station</v>
      </c>
      <c r="V210" s="10" t="str">
        <f t="shared" si="140"/>
        <v>Baryulgil Waste Transfer Station</v>
      </c>
      <c r="W210" s="10" t="str">
        <f t="shared" si="141"/>
        <v>Glenreagh Waste Transfer Station</v>
      </c>
      <c r="X210" s="10" t="str">
        <f t="shared" si="142"/>
        <v>Grafton Landfill</v>
      </c>
      <c r="Y210" s="10" t="str">
        <f t="shared" si="143"/>
        <v>Copmanhurst, Iluka and Mini Water Waste Transfer Stations</v>
      </c>
      <c r="Z210" s="10">
        <f t="shared" si="144"/>
        <v>0</v>
      </c>
      <c r="AA210" s="10">
        <f t="shared" si="145"/>
        <v>0</v>
      </c>
      <c r="AB210" s="10">
        <f t="shared" si="146"/>
        <v>0</v>
      </c>
      <c r="AC210" s="10">
        <f t="shared" si="147"/>
        <v>0</v>
      </c>
      <c r="AD210" s="10">
        <f t="shared" si="148"/>
        <v>0</v>
      </c>
      <c r="AE210" s="10">
        <f t="shared" si="149"/>
        <v>0</v>
      </c>
      <c r="AF210" s="10">
        <f t="shared" si="150"/>
        <v>0</v>
      </c>
      <c r="AG210" s="10">
        <f t="shared" si="151"/>
        <v>0</v>
      </c>
      <c r="AH210" s="10">
        <f t="shared" si="152"/>
        <v>0</v>
      </c>
      <c r="AI210" s="10">
        <f t="shared" si="153"/>
        <v>0</v>
      </c>
      <c r="AJ210" s="10">
        <f t="shared" si="154"/>
        <v>0</v>
      </c>
      <c r="AK210" s="10">
        <f t="shared" si="155"/>
        <v>0</v>
      </c>
      <c r="AL210" s="10">
        <f t="shared" si="156"/>
        <v>0</v>
      </c>
      <c r="AM210" s="10">
        <f t="shared" si="157"/>
        <v>0</v>
      </c>
      <c r="AN210" s="46">
        <f t="shared" si="158"/>
        <v>0</v>
      </c>
      <c r="AO210" s="10">
        <f t="shared" si="159"/>
        <v>0</v>
      </c>
      <c r="AP210" s="10">
        <f t="shared" si="160"/>
        <v>0</v>
      </c>
      <c r="AQ210" s="10">
        <f t="shared" si="161"/>
        <v>0</v>
      </c>
      <c r="AR210" s="10">
        <f t="shared" si="162"/>
        <v>0</v>
      </c>
      <c r="AS210" s="10">
        <f t="shared" si="163"/>
        <v>0</v>
      </c>
      <c r="AT210" s="10">
        <f t="shared" si="164"/>
        <v>0</v>
      </c>
      <c r="AU210" s="10">
        <f t="shared" si="165"/>
        <v>0</v>
      </c>
      <c r="AV210" s="10">
        <f t="shared" si="166"/>
        <v>0</v>
      </c>
      <c r="AW210" s="10">
        <f t="shared" si="167"/>
        <v>0</v>
      </c>
      <c r="AX210" s="10">
        <f t="shared" si="168"/>
        <v>0</v>
      </c>
    </row>
    <row r="211" spans="1:50" x14ac:dyDescent="0.2">
      <c r="A211" s="8">
        <v>11800</v>
      </c>
      <c r="B211" s="89" t="str">
        <f t="shared" si="120"/>
        <v>Coffs Harbour</v>
      </c>
      <c r="C211" s="9" t="str">
        <f t="shared" si="121"/>
        <v>MidWaste</v>
      </c>
      <c r="D211" s="51" t="str">
        <f t="shared" si="122"/>
        <v>R</v>
      </c>
      <c r="E211" s="10">
        <f t="shared" si="123"/>
        <v>0</v>
      </c>
      <c r="F211" s="10">
        <f t="shared" si="124"/>
        <v>77648</v>
      </c>
      <c r="G211" s="10">
        <f t="shared" si="125"/>
        <v>34645</v>
      </c>
      <c r="H211" s="10">
        <f t="shared" si="126"/>
        <v>2.2412469331793909</v>
      </c>
      <c r="I211" s="10">
        <f t="shared" si="127"/>
        <v>1173.7</v>
      </c>
      <c r="J211" s="10">
        <f t="shared" si="128"/>
        <v>66.2</v>
      </c>
      <c r="K211" s="10">
        <f t="shared" si="129"/>
        <v>695</v>
      </c>
      <c r="L211" s="10" t="str">
        <f t="shared" si="130"/>
        <v>Y</v>
      </c>
      <c r="M211" s="10">
        <f t="shared" si="131"/>
        <v>31040</v>
      </c>
      <c r="N211" s="10">
        <f t="shared" si="132"/>
        <v>28759</v>
      </c>
      <c r="O211" s="10">
        <f t="shared" si="133"/>
        <v>0</v>
      </c>
      <c r="P211" s="10">
        <f t="shared" si="134"/>
        <v>31030</v>
      </c>
      <c r="Q211" s="10">
        <f t="shared" si="135"/>
        <v>34645</v>
      </c>
      <c r="R211" s="10" t="str">
        <f t="shared" si="136"/>
        <v>Yes</v>
      </c>
      <c r="S211" s="10" t="str">
        <f t="shared" si="137"/>
        <v>Englands Road Waste Management Facility</v>
      </c>
      <c r="T211" s="10" t="str">
        <f t="shared" si="138"/>
        <v>Lowanna Transfer Station</v>
      </c>
      <c r="U211" s="10" t="str">
        <f t="shared" si="139"/>
        <v>Coramba Transfer Station</v>
      </c>
      <c r="V211" s="10" t="str">
        <f t="shared" si="140"/>
        <v>Woolgoolga Transfer Station</v>
      </c>
      <c r="W211" s="10">
        <f t="shared" si="141"/>
        <v>0</v>
      </c>
      <c r="X211" s="10">
        <f t="shared" si="142"/>
        <v>0</v>
      </c>
      <c r="Y211" s="10">
        <f t="shared" si="143"/>
        <v>0</v>
      </c>
      <c r="Z211" s="10">
        <f t="shared" si="144"/>
        <v>0</v>
      </c>
      <c r="AA211" s="10">
        <f t="shared" si="145"/>
        <v>0</v>
      </c>
      <c r="AB211" s="10">
        <f t="shared" si="146"/>
        <v>0</v>
      </c>
      <c r="AC211" s="10">
        <f t="shared" si="147"/>
        <v>0</v>
      </c>
      <c r="AD211" s="10">
        <f t="shared" si="148"/>
        <v>0</v>
      </c>
      <c r="AE211" s="10">
        <f t="shared" si="149"/>
        <v>0</v>
      </c>
      <c r="AF211" s="10">
        <f t="shared" si="150"/>
        <v>0</v>
      </c>
      <c r="AG211" s="10">
        <f t="shared" si="151"/>
        <v>0</v>
      </c>
      <c r="AH211" s="10">
        <f t="shared" si="152"/>
        <v>0</v>
      </c>
      <c r="AI211" s="10">
        <f t="shared" si="153"/>
        <v>0</v>
      </c>
      <c r="AJ211" s="10">
        <f t="shared" si="154"/>
        <v>0</v>
      </c>
      <c r="AK211" s="10">
        <f t="shared" si="155"/>
        <v>0</v>
      </c>
      <c r="AL211" s="10">
        <f t="shared" si="156"/>
        <v>0</v>
      </c>
      <c r="AM211" s="10">
        <f t="shared" si="157"/>
        <v>0</v>
      </c>
      <c r="AN211" s="46">
        <f t="shared" si="158"/>
        <v>0</v>
      </c>
      <c r="AO211" s="10">
        <f t="shared" si="159"/>
        <v>0</v>
      </c>
      <c r="AP211" s="10">
        <f t="shared" si="160"/>
        <v>0</v>
      </c>
      <c r="AQ211" s="10">
        <f t="shared" si="161"/>
        <v>0</v>
      </c>
      <c r="AR211" s="10">
        <f t="shared" si="162"/>
        <v>0</v>
      </c>
      <c r="AS211" s="10">
        <f t="shared" si="163"/>
        <v>0</v>
      </c>
      <c r="AT211" s="10">
        <f t="shared" si="164"/>
        <v>0</v>
      </c>
      <c r="AU211" s="10">
        <f t="shared" si="165"/>
        <v>0</v>
      </c>
      <c r="AV211" s="10">
        <f t="shared" si="166"/>
        <v>0</v>
      </c>
      <c r="AW211" s="10">
        <f t="shared" si="167"/>
        <v>0</v>
      </c>
      <c r="AX211" s="10">
        <f t="shared" si="168"/>
        <v>0</v>
      </c>
    </row>
    <row r="212" spans="1:50" x14ac:dyDescent="0.2">
      <c r="A212" s="8">
        <v>12700</v>
      </c>
      <c r="B212" s="89" t="str">
        <f t="shared" si="120"/>
        <v>Dungog</v>
      </c>
      <c r="C212" s="9" t="str">
        <f t="shared" si="121"/>
        <v>Hunter</v>
      </c>
      <c r="D212" s="51" t="str">
        <f t="shared" si="122"/>
        <v>R</v>
      </c>
      <c r="E212" s="10" t="str">
        <f t="shared" si="123"/>
        <v>HJO</v>
      </c>
      <c r="F212" s="10">
        <f t="shared" si="124"/>
        <v>9664</v>
      </c>
      <c r="G212" s="10">
        <f t="shared" si="125"/>
        <v>5300</v>
      </c>
      <c r="H212" s="10">
        <f t="shared" si="126"/>
        <v>1.8233962264150942</v>
      </c>
      <c r="I212" s="10">
        <f t="shared" si="127"/>
        <v>2250</v>
      </c>
      <c r="J212" s="10">
        <f t="shared" si="128"/>
        <v>4.3</v>
      </c>
      <c r="K212" s="10">
        <f t="shared" si="129"/>
        <v>455</v>
      </c>
      <c r="L212" s="10" t="str">
        <f t="shared" si="130"/>
        <v>Y</v>
      </c>
      <c r="M212" s="10">
        <f t="shared" si="131"/>
        <v>3786</v>
      </c>
      <c r="N212" s="10">
        <f t="shared" si="132"/>
        <v>3751</v>
      </c>
      <c r="O212" s="10">
        <f t="shared" si="133"/>
        <v>0</v>
      </c>
      <c r="P212" s="10">
        <f t="shared" si="134"/>
        <v>0</v>
      </c>
      <c r="Q212" s="10">
        <f t="shared" si="135"/>
        <v>5300</v>
      </c>
      <c r="R212" s="10" t="str">
        <f t="shared" si="136"/>
        <v>Yes</v>
      </c>
      <c r="S212" s="10" t="str">
        <f t="shared" si="137"/>
        <v>Dungog Waste Management Facility</v>
      </c>
      <c r="T212" s="10">
        <f t="shared" si="138"/>
        <v>0</v>
      </c>
      <c r="U212" s="10">
        <f t="shared" si="139"/>
        <v>0</v>
      </c>
      <c r="V212" s="10">
        <f t="shared" si="140"/>
        <v>0</v>
      </c>
      <c r="W212" s="10">
        <f t="shared" si="141"/>
        <v>0</v>
      </c>
      <c r="X212" s="10">
        <f t="shared" si="142"/>
        <v>0</v>
      </c>
      <c r="Y212" s="10">
        <f t="shared" si="143"/>
        <v>0</v>
      </c>
      <c r="Z212" s="10">
        <f t="shared" si="144"/>
        <v>0</v>
      </c>
      <c r="AA212" s="10">
        <f t="shared" si="145"/>
        <v>0</v>
      </c>
      <c r="AB212" s="10">
        <f t="shared" si="146"/>
        <v>0</v>
      </c>
      <c r="AC212" s="10">
        <f t="shared" si="147"/>
        <v>0</v>
      </c>
      <c r="AD212" s="10">
        <f t="shared" si="148"/>
        <v>0</v>
      </c>
      <c r="AE212" s="10">
        <f t="shared" si="149"/>
        <v>0</v>
      </c>
      <c r="AF212" s="10">
        <f t="shared" si="150"/>
        <v>0</v>
      </c>
      <c r="AG212" s="10">
        <f t="shared" si="151"/>
        <v>0</v>
      </c>
      <c r="AH212" s="10">
        <f t="shared" si="152"/>
        <v>0</v>
      </c>
      <c r="AI212" s="10">
        <f t="shared" si="153"/>
        <v>0</v>
      </c>
      <c r="AJ212" s="10">
        <f t="shared" si="154"/>
        <v>0</v>
      </c>
      <c r="AK212" s="10">
        <f t="shared" si="155"/>
        <v>0</v>
      </c>
      <c r="AL212" s="10">
        <f t="shared" si="156"/>
        <v>0</v>
      </c>
      <c r="AM212" s="10">
        <f t="shared" si="157"/>
        <v>0</v>
      </c>
      <c r="AN212" s="46">
        <f t="shared" si="158"/>
        <v>0</v>
      </c>
      <c r="AO212" s="10">
        <f t="shared" si="159"/>
        <v>0</v>
      </c>
      <c r="AP212" s="10">
        <f t="shared" si="160"/>
        <v>0</v>
      </c>
      <c r="AQ212" s="10">
        <f t="shared" si="161"/>
        <v>0</v>
      </c>
      <c r="AR212" s="10">
        <f t="shared" si="162"/>
        <v>0</v>
      </c>
      <c r="AS212" s="10">
        <f t="shared" si="163"/>
        <v>0</v>
      </c>
      <c r="AT212" s="10">
        <f t="shared" si="164"/>
        <v>0</v>
      </c>
      <c r="AU212" s="10">
        <f t="shared" si="165"/>
        <v>0</v>
      </c>
      <c r="AV212" s="10">
        <f t="shared" si="166"/>
        <v>0</v>
      </c>
      <c r="AW212" s="10">
        <f t="shared" si="167"/>
        <v>0</v>
      </c>
      <c r="AX212" s="10">
        <f t="shared" si="168"/>
        <v>0</v>
      </c>
    </row>
    <row r="213" spans="1:50" x14ac:dyDescent="0.2">
      <c r="A213" s="8">
        <v>14350</v>
      </c>
      <c r="B213" s="89" t="str">
        <f t="shared" si="120"/>
        <v>Kempsey</v>
      </c>
      <c r="C213" s="9" t="str">
        <f t="shared" si="121"/>
        <v>MidWaste</v>
      </c>
      <c r="D213" s="51" t="str">
        <f t="shared" si="122"/>
        <v>R</v>
      </c>
      <c r="E213" s="10" t="str">
        <f t="shared" si="123"/>
        <v>MNCJO</v>
      </c>
      <c r="F213" s="10">
        <f t="shared" si="124"/>
        <v>29921</v>
      </c>
      <c r="G213" s="10">
        <f t="shared" si="125"/>
        <v>15699</v>
      </c>
      <c r="H213" s="10">
        <f t="shared" si="126"/>
        <v>1.9059175743677941</v>
      </c>
      <c r="I213" s="10">
        <f t="shared" si="127"/>
        <v>3375.7</v>
      </c>
      <c r="J213" s="10">
        <f t="shared" si="128"/>
        <v>8.9</v>
      </c>
      <c r="K213" s="10">
        <f t="shared" si="129"/>
        <v>403</v>
      </c>
      <c r="L213" s="10" t="str">
        <f t="shared" si="130"/>
        <v>Y</v>
      </c>
      <c r="M213" s="10">
        <f t="shared" si="131"/>
        <v>11994</v>
      </c>
      <c r="N213" s="10">
        <f t="shared" si="132"/>
        <v>12434</v>
      </c>
      <c r="O213" s="10">
        <f t="shared" si="133"/>
        <v>0</v>
      </c>
      <c r="P213" s="10">
        <f t="shared" si="134"/>
        <v>11541</v>
      </c>
      <c r="Q213" s="10">
        <f t="shared" si="135"/>
        <v>0</v>
      </c>
      <c r="R213" s="10" t="str">
        <f t="shared" si="136"/>
        <v>Yes</v>
      </c>
      <c r="S213" s="10" t="str">
        <f t="shared" si="137"/>
        <v xml:space="preserve">Kempsey Waste Management Center </v>
      </c>
      <c r="T213" s="10" t="str">
        <f t="shared" si="138"/>
        <v xml:space="preserve">South West Rocks Transfer Station </v>
      </c>
      <c r="U213" s="10" t="str">
        <f t="shared" si="139"/>
        <v xml:space="preserve">Stuarts Point Transfer Station </v>
      </c>
      <c r="V213" s="10" t="str">
        <f t="shared" si="140"/>
        <v xml:space="preserve">Bellbrook Transfer Station </v>
      </c>
      <c r="W213" s="10">
        <f t="shared" si="141"/>
        <v>0</v>
      </c>
      <c r="X213" s="10">
        <f t="shared" si="142"/>
        <v>0</v>
      </c>
      <c r="Y213" s="10">
        <f t="shared" si="143"/>
        <v>0</v>
      </c>
      <c r="Z213" s="10">
        <f t="shared" si="144"/>
        <v>0</v>
      </c>
      <c r="AA213" s="10">
        <f t="shared" si="145"/>
        <v>0</v>
      </c>
      <c r="AB213" s="10">
        <f t="shared" si="146"/>
        <v>0</v>
      </c>
      <c r="AC213" s="10">
        <f t="shared" si="147"/>
        <v>0</v>
      </c>
      <c r="AD213" s="10">
        <f t="shared" si="148"/>
        <v>0</v>
      </c>
      <c r="AE213" s="10">
        <f t="shared" si="149"/>
        <v>0</v>
      </c>
      <c r="AF213" s="10">
        <f t="shared" si="150"/>
        <v>0</v>
      </c>
      <c r="AG213" s="10">
        <f t="shared" si="151"/>
        <v>0</v>
      </c>
      <c r="AH213" s="10">
        <f t="shared" si="152"/>
        <v>0</v>
      </c>
      <c r="AI213" s="10">
        <f t="shared" si="153"/>
        <v>0</v>
      </c>
      <c r="AJ213" s="10">
        <f t="shared" si="154"/>
        <v>0</v>
      </c>
      <c r="AK213" s="10">
        <f t="shared" si="155"/>
        <v>0</v>
      </c>
      <c r="AL213" s="10">
        <f t="shared" si="156"/>
        <v>0</v>
      </c>
      <c r="AM213" s="10">
        <f t="shared" si="157"/>
        <v>0</v>
      </c>
      <c r="AN213" s="46">
        <f t="shared" si="158"/>
        <v>0</v>
      </c>
      <c r="AO213" s="10">
        <f t="shared" si="159"/>
        <v>0</v>
      </c>
      <c r="AP213" s="10">
        <f t="shared" si="160"/>
        <v>0</v>
      </c>
      <c r="AQ213" s="10">
        <f t="shared" si="161"/>
        <v>0</v>
      </c>
      <c r="AR213" s="10">
        <f t="shared" si="162"/>
        <v>0</v>
      </c>
      <c r="AS213" s="10">
        <f t="shared" si="163"/>
        <v>0</v>
      </c>
      <c r="AT213" s="10">
        <f t="shared" si="164"/>
        <v>0</v>
      </c>
      <c r="AU213" s="10">
        <f t="shared" si="165"/>
        <v>0</v>
      </c>
      <c r="AV213" s="10">
        <f t="shared" si="166"/>
        <v>0</v>
      </c>
      <c r="AW213" s="10">
        <f t="shared" si="167"/>
        <v>0</v>
      </c>
      <c r="AX213" s="10">
        <f t="shared" si="168"/>
        <v>0</v>
      </c>
    </row>
    <row r="214" spans="1:50" x14ac:dyDescent="0.2">
      <c r="A214" s="8">
        <v>14550</v>
      </c>
      <c r="B214" s="89" t="str">
        <f t="shared" si="120"/>
        <v>Kyogle</v>
      </c>
      <c r="C214" s="9" t="str">
        <f t="shared" si="121"/>
        <v>NEWF</v>
      </c>
      <c r="D214" s="51" t="str">
        <f t="shared" si="122"/>
        <v>R</v>
      </c>
      <c r="E214" s="10" t="str">
        <f t="shared" si="123"/>
        <v>NRJO</v>
      </c>
      <c r="F214" s="10">
        <f t="shared" si="124"/>
        <v>8788</v>
      </c>
      <c r="G214" s="10">
        <f t="shared" si="125"/>
        <v>4042</v>
      </c>
      <c r="H214" s="10">
        <f t="shared" si="126"/>
        <v>2.1741712023750619</v>
      </c>
      <c r="I214" s="10">
        <f t="shared" si="127"/>
        <v>3584.2</v>
      </c>
      <c r="J214" s="10">
        <f t="shared" si="128"/>
        <v>2.5</v>
      </c>
      <c r="K214" s="10">
        <f t="shared" si="129"/>
        <v>450</v>
      </c>
      <c r="L214" s="10" t="str">
        <f t="shared" si="130"/>
        <v>Y</v>
      </c>
      <c r="M214" s="10">
        <f t="shared" si="131"/>
        <v>1970</v>
      </c>
      <c r="N214" s="10">
        <f t="shared" si="132"/>
        <v>1970</v>
      </c>
      <c r="O214" s="10">
        <f t="shared" si="133"/>
        <v>0</v>
      </c>
      <c r="P214" s="10">
        <f t="shared" si="134"/>
        <v>0</v>
      </c>
      <c r="Q214" s="10">
        <f t="shared" si="135"/>
        <v>0</v>
      </c>
      <c r="R214" s="10" t="str">
        <f t="shared" si="136"/>
        <v>Yes</v>
      </c>
      <c r="S214" s="10" t="str">
        <f t="shared" si="137"/>
        <v>Kyogle Landfill Facility</v>
      </c>
      <c r="T214" s="10">
        <f t="shared" si="138"/>
        <v>0</v>
      </c>
      <c r="U214" s="10">
        <f t="shared" si="139"/>
        <v>0</v>
      </c>
      <c r="V214" s="10">
        <f t="shared" si="140"/>
        <v>0</v>
      </c>
      <c r="W214" s="10">
        <f t="shared" si="141"/>
        <v>0</v>
      </c>
      <c r="X214" s="10">
        <f t="shared" si="142"/>
        <v>0</v>
      </c>
      <c r="Y214" s="10">
        <f t="shared" si="143"/>
        <v>0</v>
      </c>
      <c r="Z214" s="10">
        <f t="shared" si="144"/>
        <v>0</v>
      </c>
      <c r="AA214" s="10">
        <f t="shared" si="145"/>
        <v>0</v>
      </c>
      <c r="AB214" s="10">
        <f t="shared" si="146"/>
        <v>0</v>
      </c>
      <c r="AC214" s="10">
        <f t="shared" si="147"/>
        <v>0</v>
      </c>
      <c r="AD214" s="10">
        <f t="shared" si="148"/>
        <v>0</v>
      </c>
      <c r="AE214" s="10">
        <f t="shared" si="149"/>
        <v>0</v>
      </c>
      <c r="AF214" s="10">
        <f t="shared" si="150"/>
        <v>0</v>
      </c>
      <c r="AG214" s="10">
        <f t="shared" si="151"/>
        <v>0</v>
      </c>
      <c r="AH214" s="10">
        <f t="shared" si="152"/>
        <v>0</v>
      </c>
      <c r="AI214" s="10">
        <f t="shared" si="153"/>
        <v>0</v>
      </c>
      <c r="AJ214" s="10">
        <f t="shared" si="154"/>
        <v>0</v>
      </c>
      <c r="AK214" s="10">
        <f t="shared" si="155"/>
        <v>0</v>
      </c>
      <c r="AL214" s="10">
        <f t="shared" si="156"/>
        <v>0</v>
      </c>
      <c r="AM214" s="10">
        <f t="shared" si="157"/>
        <v>0</v>
      </c>
      <c r="AN214" s="46">
        <f t="shared" si="158"/>
        <v>0</v>
      </c>
      <c r="AO214" s="10">
        <f t="shared" si="159"/>
        <v>0</v>
      </c>
      <c r="AP214" s="10">
        <f t="shared" si="160"/>
        <v>0</v>
      </c>
      <c r="AQ214" s="10">
        <f t="shared" si="161"/>
        <v>0</v>
      </c>
      <c r="AR214" s="10">
        <f t="shared" si="162"/>
        <v>0</v>
      </c>
      <c r="AS214" s="10">
        <f t="shared" si="163"/>
        <v>0</v>
      </c>
      <c r="AT214" s="10">
        <f t="shared" si="164"/>
        <v>0</v>
      </c>
      <c r="AU214" s="10">
        <f t="shared" si="165"/>
        <v>0</v>
      </c>
      <c r="AV214" s="10">
        <f t="shared" si="166"/>
        <v>0</v>
      </c>
      <c r="AW214" s="10">
        <f t="shared" si="167"/>
        <v>0</v>
      </c>
      <c r="AX214" s="10">
        <f t="shared" si="168"/>
        <v>0</v>
      </c>
    </row>
    <row r="215" spans="1:50" x14ac:dyDescent="0.2">
      <c r="A215" s="8">
        <v>14850</v>
      </c>
      <c r="B215" s="89" t="str">
        <f t="shared" si="120"/>
        <v>Lismore</v>
      </c>
      <c r="C215" s="9" t="str">
        <f t="shared" si="121"/>
        <v>NEWF</v>
      </c>
      <c r="D215" s="51" t="str">
        <f t="shared" si="122"/>
        <v>R</v>
      </c>
      <c r="E215" s="10" t="str">
        <f t="shared" si="123"/>
        <v>NRJO</v>
      </c>
      <c r="F215" s="10">
        <f t="shared" si="124"/>
        <v>43667</v>
      </c>
      <c r="G215" s="10">
        <f t="shared" si="125"/>
        <v>18655</v>
      </c>
      <c r="H215" s="10">
        <f t="shared" si="126"/>
        <v>2.3407665505226483</v>
      </c>
      <c r="I215" s="10">
        <f t="shared" si="127"/>
        <v>1287.7</v>
      </c>
      <c r="J215" s="10">
        <f t="shared" si="128"/>
        <v>33.9</v>
      </c>
      <c r="K215" s="10">
        <f t="shared" si="129"/>
        <v>316.2</v>
      </c>
      <c r="L215" s="10" t="str">
        <f t="shared" si="130"/>
        <v>Y</v>
      </c>
      <c r="M215" s="10">
        <f t="shared" si="131"/>
        <v>14971</v>
      </c>
      <c r="N215" s="10">
        <f t="shared" si="132"/>
        <v>14971</v>
      </c>
      <c r="O215" s="10">
        <f t="shared" si="133"/>
        <v>0</v>
      </c>
      <c r="P215" s="10">
        <f t="shared" si="134"/>
        <v>12898</v>
      </c>
      <c r="Q215" s="10">
        <f t="shared" si="135"/>
        <v>0</v>
      </c>
      <c r="R215" s="10" t="str">
        <f t="shared" si="136"/>
        <v>Yes</v>
      </c>
      <c r="S215" s="10" t="str">
        <f t="shared" si="137"/>
        <v>Lismore Waste Facility</v>
      </c>
      <c r="T215" s="10" t="str">
        <f t="shared" si="138"/>
        <v xml:space="preserve">Nimbin Transfer Station </v>
      </c>
      <c r="U215" s="10">
        <f t="shared" si="139"/>
        <v>0</v>
      </c>
      <c r="V215" s="10">
        <f t="shared" si="140"/>
        <v>0</v>
      </c>
      <c r="W215" s="10">
        <f t="shared" si="141"/>
        <v>0</v>
      </c>
      <c r="X215" s="10">
        <f t="shared" si="142"/>
        <v>0</v>
      </c>
      <c r="Y215" s="10">
        <f t="shared" si="143"/>
        <v>0</v>
      </c>
      <c r="Z215" s="10">
        <f t="shared" si="144"/>
        <v>0</v>
      </c>
      <c r="AA215" s="10">
        <f t="shared" si="145"/>
        <v>0</v>
      </c>
      <c r="AB215" s="10">
        <f t="shared" si="146"/>
        <v>0</v>
      </c>
      <c r="AC215" s="10">
        <f t="shared" si="147"/>
        <v>0</v>
      </c>
      <c r="AD215" s="10">
        <f t="shared" si="148"/>
        <v>0</v>
      </c>
      <c r="AE215" s="10">
        <f t="shared" si="149"/>
        <v>0</v>
      </c>
      <c r="AF215" s="10">
        <f t="shared" si="150"/>
        <v>0</v>
      </c>
      <c r="AG215" s="10">
        <f t="shared" si="151"/>
        <v>0</v>
      </c>
      <c r="AH215" s="10">
        <f t="shared" si="152"/>
        <v>0</v>
      </c>
      <c r="AI215" s="10">
        <f t="shared" si="153"/>
        <v>0</v>
      </c>
      <c r="AJ215" s="10">
        <f t="shared" si="154"/>
        <v>0</v>
      </c>
      <c r="AK215" s="10">
        <f t="shared" si="155"/>
        <v>0</v>
      </c>
      <c r="AL215" s="10">
        <f t="shared" si="156"/>
        <v>0</v>
      </c>
      <c r="AM215" s="10">
        <f t="shared" si="157"/>
        <v>0</v>
      </c>
      <c r="AN215" s="46">
        <f t="shared" si="158"/>
        <v>0</v>
      </c>
      <c r="AO215" s="10">
        <f t="shared" si="159"/>
        <v>0</v>
      </c>
      <c r="AP215" s="10">
        <f t="shared" si="160"/>
        <v>0</v>
      </c>
      <c r="AQ215" s="10">
        <f t="shared" si="161"/>
        <v>0</v>
      </c>
      <c r="AR215" s="10">
        <f t="shared" si="162"/>
        <v>0</v>
      </c>
      <c r="AS215" s="10">
        <f t="shared" si="163"/>
        <v>0</v>
      </c>
      <c r="AT215" s="10">
        <f t="shared" si="164"/>
        <v>0</v>
      </c>
      <c r="AU215" s="10">
        <f t="shared" si="165"/>
        <v>0</v>
      </c>
      <c r="AV215" s="10">
        <f t="shared" si="166"/>
        <v>0</v>
      </c>
      <c r="AW215" s="10">
        <f t="shared" si="167"/>
        <v>0</v>
      </c>
      <c r="AX215" s="10">
        <f t="shared" si="168"/>
        <v>0</v>
      </c>
    </row>
    <row r="216" spans="1:50" x14ac:dyDescent="0.2">
      <c r="A216" s="8">
        <v>15240</v>
      </c>
      <c r="B216" s="89" t="str">
        <f t="shared" si="120"/>
        <v>Mid-Coast</v>
      </c>
      <c r="C216" s="9" t="str">
        <f t="shared" si="121"/>
        <v>MidWaste</v>
      </c>
      <c r="D216" s="51" t="str">
        <f t="shared" si="122"/>
        <v>R</v>
      </c>
      <c r="E216" s="10" t="str">
        <f t="shared" si="123"/>
        <v>HJO</v>
      </c>
      <c r="F216" s="10">
        <f t="shared" si="124"/>
        <v>94395</v>
      </c>
      <c r="G216" s="10">
        <f t="shared" si="125"/>
        <v>47401</v>
      </c>
      <c r="H216" s="10">
        <f t="shared" si="126"/>
        <v>1.9914136832556275</v>
      </c>
      <c r="I216" s="10">
        <f t="shared" si="127"/>
        <v>10053.9</v>
      </c>
      <c r="J216" s="10">
        <f t="shared" si="128"/>
        <v>9.4</v>
      </c>
      <c r="K216" s="10">
        <f t="shared" si="129"/>
        <v>370</v>
      </c>
      <c r="L216" s="10" t="str">
        <f t="shared" si="130"/>
        <v>Y</v>
      </c>
      <c r="M216" s="10">
        <f t="shared" si="131"/>
        <v>45518</v>
      </c>
      <c r="N216" s="10">
        <f t="shared" si="132"/>
        <v>45143</v>
      </c>
      <c r="O216" s="10">
        <f t="shared" si="133"/>
        <v>37979</v>
      </c>
      <c r="P216" s="10">
        <f t="shared" si="134"/>
        <v>0</v>
      </c>
      <c r="Q216" s="10">
        <f t="shared" si="135"/>
        <v>47401</v>
      </c>
      <c r="R216" s="10" t="str">
        <f t="shared" si="136"/>
        <v>Yes</v>
      </c>
      <c r="S216" s="10" t="str">
        <f t="shared" si="137"/>
        <v>MidCoast Shire</v>
      </c>
      <c r="T216" s="10">
        <f t="shared" si="138"/>
        <v>0</v>
      </c>
      <c r="U216" s="10">
        <f t="shared" si="139"/>
        <v>0</v>
      </c>
      <c r="V216" s="10">
        <f t="shared" si="140"/>
        <v>0</v>
      </c>
      <c r="W216" s="10">
        <f t="shared" si="141"/>
        <v>0</v>
      </c>
      <c r="X216" s="10">
        <f t="shared" si="142"/>
        <v>0</v>
      </c>
      <c r="Y216" s="10">
        <f t="shared" si="143"/>
        <v>0</v>
      </c>
      <c r="Z216" s="10">
        <f t="shared" si="144"/>
        <v>0</v>
      </c>
      <c r="AA216" s="10">
        <f t="shared" si="145"/>
        <v>0</v>
      </c>
      <c r="AB216" s="10">
        <f t="shared" si="146"/>
        <v>0</v>
      </c>
      <c r="AC216" s="10">
        <f t="shared" si="147"/>
        <v>0</v>
      </c>
      <c r="AD216" s="10">
        <f t="shared" si="148"/>
        <v>0</v>
      </c>
      <c r="AE216" s="10">
        <f t="shared" si="149"/>
        <v>0</v>
      </c>
      <c r="AF216" s="10">
        <f t="shared" si="150"/>
        <v>0</v>
      </c>
      <c r="AG216" s="10">
        <f t="shared" si="151"/>
        <v>0</v>
      </c>
      <c r="AH216" s="10">
        <f t="shared" si="152"/>
        <v>0</v>
      </c>
      <c r="AI216" s="10">
        <f t="shared" si="153"/>
        <v>0</v>
      </c>
      <c r="AJ216" s="10">
        <f t="shared" si="154"/>
        <v>0</v>
      </c>
      <c r="AK216" s="10">
        <f t="shared" si="155"/>
        <v>0</v>
      </c>
      <c r="AL216" s="10">
        <f t="shared" si="156"/>
        <v>0</v>
      </c>
      <c r="AM216" s="10">
        <f t="shared" si="157"/>
        <v>0</v>
      </c>
      <c r="AN216" s="46">
        <f t="shared" si="158"/>
        <v>0</v>
      </c>
      <c r="AO216" s="10">
        <f t="shared" si="159"/>
        <v>0</v>
      </c>
      <c r="AP216" s="10">
        <f t="shared" si="160"/>
        <v>0</v>
      </c>
      <c r="AQ216" s="10">
        <f t="shared" si="161"/>
        <v>0</v>
      </c>
      <c r="AR216" s="10">
        <f t="shared" si="162"/>
        <v>0</v>
      </c>
      <c r="AS216" s="10">
        <f t="shared" si="163"/>
        <v>0</v>
      </c>
      <c r="AT216" s="10">
        <f t="shared" si="164"/>
        <v>0</v>
      </c>
      <c r="AU216" s="10">
        <f t="shared" si="165"/>
        <v>0</v>
      </c>
      <c r="AV216" s="10">
        <f t="shared" si="166"/>
        <v>0</v>
      </c>
      <c r="AW216" s="10">
        <f t="shared" si="167"/>
        <v>0</v>
      </c>
      <c r="AX216" s="10">
        <f t="shared" si="168"/>
        <v>0</v>
      </c>
    </row>
    <row r="217" spans="1:50" x14ac:dyDescent="0.2">
      <c r="A217" s="8">
        <v>15650</v>
      </c>
      <c r="B217" s="89" t="str">
        <f t="shared" si="120"/>
        <v>Muswellbrook</v>
      </c>
      <c r="C217" s="9" t="str">
        <f t="shared" si="121"/>
        <v>Hunter</v>
      </c>
      <c r="D217" s="51" t="str">
        <f t="shared" si="122"/>
        <v>R</v>
      </c>
      <c r="E217" s="10" t="str">
        <f t="shared" si="123"/>
        <v>HJO</v>
      </c>
      <c r="F217" s="10">
        <f t="shared" si="124"/>
        <v>16355</v>
      </c>
      <c r="G217" s="10">
        <f t="shared" si="125"/>
        <v>8029</v>
      </c>
      <c r="H217" s="10">
        <f t="shared" si="126"/>
        <v>2.0369909079586499</v>
      </c>
      <c r="I217" s="10">
        <f t="shared" si="127"/>
        <v>3404.9</v>
      </c>
      <c r="J217" s="10">
        <f t="shared" si="128"/>
        <v>4.8</v>
      </c>
      <c r="K217" s="10">
        <f t="shared" si="129"/>
        <v>422</v>
      </c>
      <c r="L217" s="10" t="str">
        <f t="shared" si="130"/>
        <v>Y</v>
      </c>
      <c r="M217" s="10">
        <f t="shared" si="131"/>
        <v>6251</v>
      </c>
      <c r="N217" s="10">
        <f t="shared" si="132"/>
        <v>6126</v>
      </c>
      <c r="O217" s="10">
        <f t="shared" si="133"/>
        <v>5732</v>
      </c>
      <c r="P217" s="10">
        <f t="shared" si="134"/>
        <v>0</v>
      </c>
      <c r="Q217" s="10">
        <f t="shared" si="135"/>
        <v>8029</v>
      </c>
      <c r="R217" s="10" t="str">
        <f t="shared" si="136"/>
        <v>Yes</v>
      </c>
      <c r="S217" s="10" t="str">
        <f t="shared" si="137"/>
        <v>Muswellbrook Waste &amp; Recycling Centre</v>
      </c>
      <c r="T217" s="10" t="str">
        <f t="shared" si="138"/>
        <v>Denman Transfer Station</v>
      </c>
      <c r="U217" s="10">
        <f t="shared" si="139"/>
        <v>0</v>
      </c>
      <c r="V217" s="10">
        <f t="shared" si="140"/>
        <v>0</v>
      </c>
      <c r="W217" s="10">
        <f t="shared" si="141"/>
        <v>0</v>
      </c>
      <c r="X217" s="10">
        <f t="shared" si="142"/>
        <v>0</v>
      </c>
      <c r="Y217" s="10">
        <f t="shared" si="143"/>
        <v>0</v>
      </c>
      <c r="Z217" s="10">
        <f t="shared" si="144"/>
        <v>0</v>
      </c>
      <c r="AA217" s="10">
        <f t="shared" si="145"/>
        <v>0</v>
      </c>
      <c r="AB217" s="10">
        <f t="shared" si="146"/>
        <v>0</v>
      </c>
      <c r="AC217" s="10">
        <f t="shared" si="147"/>
        <v>0</v>
      </c>
      <c r="AD217" s="10">
        <f t="shared" si="148"/>
        <v>0</v>
      </c>
      <c r="AE217" s="10">
        <f t="shared" si="149"/>
        <v>0</v>
      </c>
      <c r="AF217" s="10">
        <f t="shared" si="150"/>
        <v>0</v>
      </c>
      <c r="AG217" s="10">
        <f t="shared" si="151"/>
        <v>0</v>
      </c>
      <c r="AH217" s="10">
        <f t="shared" si="152"/>
        <v>0</v>
      </c>
      <c r="AI217" s="10">
        <f t="shared" si="153"/>
        <v>0</v>
      </c>
      <c r="AJ217" s="10">
        <f t="shared" si="154"/>
        <v>0</v>
      </c>
      <c r="AK217" s="10">
        <f t="shared" si="155"/>
        <v>0</v>
      </c>
      <c r="AL217" s="10">
        <f t="shared" si="156"/>
        <v>0</v>
      </c>
      <c r="AM217" s="10">
        <f t="shared" si="157"/>
        <v>0</v>
      </c>
      <c r="AN217" s="46">
        <f t="shared" si="158"/>
        <v>0</v>
      </c>
      <c r="AO217" s="10">
        <f t="shared" si="159"/>
        <v>0</v>
      </c>
      <c r="AP217" s="10">
        <f t="shared" si="160"/>
        <v>0</v>
      </c>
      <c r="AQ217" s="10">
        <f t="shared" si="161"/>
        <v>0</v>
      </c>
      <c r="AR217" s="10">
        <f t="shared" si="162"/>
        <v>0</v>
      </c>
      <c r="AS217" s="10">
        <f t="shared" si="163"/>
        <v>0</v>
      </c>
      <c r="AT217" s="10">
        <f t="shared" si="164"/>
        <v>0</v>
      </c>
      <c r="AU217" s="10">
        <f t="shared" si="165"/>
        <v>0</v>
      </c>
      <c r="AV217" s="10">
        <f t="shared" si="166"/>
        <v>0</v>
      </c>
      <c r="AW217" s="10">
        <f t="shared" si="167"/>
        <v>0</v>
      </c>
      <c r="AX217" s="10">
        <f t="shared" si="168"/>
        <v>0</v>
      </c>
    </row>
    <row r="218" spans="1:50" x14ac:dyDescent="0.2">
      <c r="A218" s="8">
        <v>15700</v>
      </c>
      <c r="B218" s="89" t="str">
        <f t="shared" si="120"/>
        <v>Nambucca</v>
      </c>
      <c r="C218" s="9" t="str">
        <f t="shared" si="121"/>
        <v>MidWaste</v>
      </c>
      <c r="D218" s="51" t="str">
        <f t="shared" si="122"/>
        <v>R</v>
      </c>
      <c r="E218" s="10">
        <f t="shared" si="123"/>
        <v>0</v>
      </c>
      <c r="F218" s="10">
        <f t="shared" si="124"/>
        <v>19861</v>
      </c>
      <c r="G218" s="10">
        <f t="shared" si="125"/>
        <v>10166</v>
      </c>
      <c r="H218" s="10">
        <f t="shared" si="126"/>
        <v>1.9536690930552822</v>
      </c>
      <c r="I218" s="10">
        <f t="shared" si="127"/>
        <v>1491.3</v>
      </c>
      <c r="J218" s="10">
        <f t="shared" si="128"/>
        <v>13.3</v>
      </c>
      <c r="K218" s="10">
        <f t="shared" si="129"/>
        <v>543</v>
      </c>
      <c r="L218" s="10" t="str">
        <f t="shared" si="130"/>
        <v>Y</v>
      </c>
      <c r="M218" s="10">
        <f t="shared" si="131"/>
        <v>6774</v>
      </c>
      <c r="N218" s="10">
        <f t="shared" si="132"/>
        <v>6774</v>
      </c>
      <c r="O218" s="10">
        <f t="shared" si="133"/>
        <v>0</v>
      </c>
      <c r="P218" s="10">
        <f t="shared" si="134"/>
        <v>6774</v>
      </c>
      <c r="Q218" s="10">
        <f t="shared" si="135"/>
        <v>10166</v>
      </c>
      <c r="R218" s="10" t="str">
        <f t="shared" si="136"/>
        <v>Yes</v>
      </c>
      <c r="S218" s="10" t="str">
        <f t="shared" si="137"/>
        <v>Nambucca Waste Facility</v>
      </c>
      <c r="T218" s="10">
        <f t="shared" si="138"/>
        <v>0</v>
      </c>
      <c r="U218" s="10">
        <f t="shared" si="139"/>
        <v>0</v>
      </c>
      <c r="V218" s="10">
        <f t="shared" si="140"/>
        <v>0</v>
      </c>
      <c r="W218" s="10">
        <f t="shared" si="141"/>
        <v>0</v>
      </c>
      <c r="X218" s="10">
        <f t="shared" si="142"/>
        <v>0</v>
      </c>
      <c r="Y218" s="10">
        <f t="shared" si="143"/>
        <v>0</v>
      </c>
      <c r="Z218" s="10">
        <f t="shared" si="144"/>
        <v>0</v>
      </c>
      <c r="AA218" s="10">
        <f t="shared" si="145"/>
        <v>0</v>
      </c>
      <c r="AB218" s="10">
        <f t="shared" si="146"/>
        <v>0</v>
      </c>
      <c r="AC218" s="10">
        <f t="shared" si="147"/>
        <v>0</v>
      </c>
      <c r="AD218" s="10">
        <f t="shared" si="148"/>
        <v>0</v>
      </c>
      <c r="AE218" s="10">
        <f t="shared" si="149"/>
        <v>0</v>
      </c>
      <c r="AF218" s="10">
        <f t="shared" si="150"/>
        <v>0</v>
      </c>
      <c r="AG218" s="10">
        <f t="shared" si="151"/>
        <v>0</v>
      </c>
      <c r="AH218" s="10">
        <f t="shared" si="152"/>
        <v>0</v>
      </c>
      <c r="AI218" s="10">
        <f t="shared" si="153"/>
        <v>0</v>
      </c>
      <c r="AJ218" s="10">
        <f t="shared" si="154"/>
        <v>0</v>
      </c>
      <c r="AK218" s="10">
        <f t="shared" si="155"/>
        <v>0</v>
      </c>
      <c r="AL218" s="10">
        <f t="shared" si="156"/>
        <v>0</v>
      </c>
      <c r="AM218" s="10">
        <f t="shared" si="157"/>
        <v>0</v>
      </c>
      <c r="AN218" s="46">
        <f t="shared" si="158"/>
        <v>0</v>
      </c>
      <c r="AO218" s="10">
        <f t="shared" si="159"/>
        <v>0</v>
      </c>
      <c r="AP218" s="10">
        <f t="shared" si="160"/>
        <v>0</v>
      </c>
      <c r="AQ218" s="10">
        <f t="shared" si="161"/>
        <v>0</v>
      </c>
      <c r="AR218" s="10">
        <f t="shared" si="162"/>
        <v>0</v>
      </c>
      <c r="AS218" s="10">
        <f t="shared" si="163"/>
        <v>0</v>
      </c>
      <c r="AT218" s="10">
        <f t="shared" si="164"/>
        <v>0</v>
      </c>
      <c r="AU218" s="10">
        <f t="shared" si="165"/>
        <v>0</v>
      </c>
      <c r="AV218" s="10">
        <f t="shared" si="166"/>
        <v>0</v>
      </c>
      <c r="AW218" s="10">
        <f t="shared" si="167"/>
        <v>0</v>
      </c>
      <c r="AX218" s="10">
        <f t="shared" si="168"/>
        <v>0</v>
      </c>
    </row>
    <row r="219" spans="1:50" x14ac:dyDescent="0.2">
      <c r="A219" s="8">
        <v>16380</v>
      </c>
      <c r="B219" s="89" t="str">
        <f t="shared" si="120"/>
        <v>Port Macquarie-Hastings</v>
      </c>
      <c r="C219" s="9" t="str">
        <f t="shared" si="121"/>
        <v>MidWaste</v>
      </c>
      <c r="D219" s="51" t="str">
        <f t="shared" si="122"/>
        <v>R</v>
      </c>
      <c r="E219" s="10" t="str">
        <f t="shared" si="123"/>
        <v>MNCJO</v>
      </c>
      <c r="F219" s="10">
        <f t="shared" si="124"/>
        <v>85952</v>
      </c>
      <c r="G219" s="10">
        <f t="shared" si="125"/>
        <v>38101</v>
      </c>
      <c r="H219" s="10">
        <f t="shared" si="126"/>
        <v>2.2558987953072096</v>
      </c>
      <c r="I219" s="10">
        <f t="shared" si="127"/>
        <v>3682.4</v>
      </c>
      <c r="J219" s="10">
        <f t="shared" si="128"/>
        <v>23.3</v>
      </c>
      <c r="K219" s="10">
        <f t="shared" si="129"/>
        <v>488</v>
      </c>
      <c r="L219" s="10" t="str">
        <f t="shared" si="130"/>
        <v>Y</v>
      </c>
      <c r="M219" s="10">
        <f t="shared" si="131"/>
        <v>30086</v>
      </c>
      <c r="N219" s="10">
        <f t="shared" si="132"/>
        <v>32352</v>
      </c>
      <c r="O219" s="10">
        <f t="shared" si="133"/>
        <v>0</v>
      </c>
      <c r="P219" s="10">
        <f t="shared" si="134"/>
        <v>29166</v>
      </c>
      <c r="Q219" s="10">
        <f t="shared" si="135"/>
        <v>38101</v>
      </c>
      <c r="R219" s="10" t="str">
        <f t="shared" si="136"/>
        <v>Yes</v>
      </c>
      <c r="S219" s="10" t="str">
        <f t="shared" si="137"/>
        <v>Cairncross Waste Facility Transfer Area</v>
      </c>
      <c r="T219" s="10" t="str">
        <f t="shared" si="138"/>
        <v>Wauchope Transfer Station</v>
      </c>
      <c r="U219" s="10" t="str">
        <f t="shared" si="139"/>
        <v>Kew Transfer Station</v>
      </c>
      <c r="V219" s="10" t="str">
        <f t="shared" si="140"/>
        <v>Port Macquarie Transfer Station</v>
      </c>
      <c r="W219" s="10" t="str">
        <f t="shared" si="141"/>
        <v>Comboyne Transfer Station</v>
      </c>
      <c r="X219" s="10">
        <f t="shared" si="142"/>
        <v>0</v>
      </c>
      <c r="Y219" s="10">
        <f t="shared" si="143"/>
        <v>0</v>
      </c>
      <c r="Z219" s="10">
        <f t="shared" si="144"/>
        <v>0</v>
      </c>
      <c r="AA219" s="10">
        <f t="shared" si="145"/>
        <v>0</v>
      </c>
      <c r="AB219" s="10">
        <f t="shared" si="146"/>
        <v>0</v>
      </c>
      <c r="AC219" s="10">
        <f t="shared" si="147"/>
        <v>0</v>
      </c>
      <c r="AD219" s="10">
        <f t="shared" si="148"/>
        <v>0</v>
      </c>
      <c r="AE219" s="10">
        <f t="shared" si="149"/>
        <v>0</v>
      </c>
      <c r="AF219" s="10">
        <f t="shared" si="150"/>
        <v>0</v>
      </c>
      <c r="AG219" s="10">
        <f t="shared" si="151"/>
        <v>0</v>
      </c>
      <c r="AH219" s="10">
        <f t="shared" si="152"/>
        <v>0</v>
      </c>
      <c r="AI219" s="10">
        <f t="shared" si="153"/>
        <v>0</v>
      </c>
      <c r="AJ219" s="10">
        <f t="shared" si="154"/>
        <v>0</v>
      </c>
      <c r="AK219" s="10">
        <f t="shared" si="155"/>
        <v>0</v>
      </c>
      <c r="AL219" s="10">
        <f t="shared" si="156"/>
        <v>0</v>
      </c>
      <c r="AM219" s="10">
        <f t="shared" si="157"/>
        <v>0</v>
      </c>
      <c r="AN219" s="46">
        <f t="shared" si="158"/>
        <v>0</v>
      </c>
      <c r="AO219" s="10">
        <f t="shared" si="159"/>
        <v>0</v>
      </c>
      <c r="AP219" s="10">
        <f t="shared" si="160"/>
        <v>0</v>
      </c>
      <c r="AQ219" s="10">
        <f t="shared" si="161"/>
        <v>0</v>
      </c>
      <c r="AR219" s="10">
        <f t="shared" si="162"/>
        <v>0</v>
      </c>
      <c r="AS219" s="10">
        <f t="shared" si="163"/>
        <v>0</v>
      </c>
      <c r="AT219" s="10">
        <f t="shared" si="164"/>
        <v>0</v>
      </c>
      <c r="AU219" s="10">
        <f t="shared" si="165"/>
        <v>0</v>
      </c>
      <c r="AV219" s="10">
        <f t="shared" si="166"/>
        <v>0</v>
      </c>
      <c r="AW219" s="10">
        <f t="shared" si="167"/>
        <v>0</v>
      </c>
      <c r="AX219" s="10">
        <f t="shared" si="168"/>
        <v>0</v>
      </c>
    </row>
    <row r="220" spans="1:50" x14ac:dyDescent="0.2">
      <c r="A220" s="8">
        <v>16610</v>
      </c>
      <c r="B220" s="89" t="str">
        <f t="shared" si="120"/>
        <v>Richmond Valley</v>
      </c>
      <c r="C220" s="9" t="str">
        <f t="shared" si="121"/>
        <v>NEWF</v>
      </c>
      <c r="D220" s="51" t="str">
        <f t="shared" si="122"/>
        <v>R</v>
      </c>
      <c r="E220" s="10" t="str">
        <f t="shared" si="123"/>
        <v>NRJO</v>
      </c>
      <c r="F220" s="10">
        <f t="shared" si="124"/>
        <v>23490</v>
      </c>
      <c r="G220" s="10">
        <f t="shared" si="125"/>
        <v>10015</v>
      </c>
      <c r="H220" s="10">
        <f t="shared" si="126"/>
        <v>2.3454817773339989</v>
      </c>
      <c r="I220" s="10">
        <f t="shared" si="127"/>
        <v>3047.4</v>
      </c>
      <c r="J220" s="10">
        <f t="shared" si="128"/>
        <v>7.7</v>
      </c>
      <c r="K220" s="10">
        <f t="shared" si="129"/>
        <v>593</v>
      </c>
      <c r="L220" s="10" t="str">
        <f t="shared" si="130"/>
        <v>Y</v>
      </c>
      <c r="M220" s="10">
        <f t="shared" si="131"/>
        <v>7165</v>
      </c>
      <c r="N220" s="10">
        <f t="shared" si="132"/>
        <v>7165</v>
      </c>
      <c r="O220" s="10">
        <f t="shared" si="133"/>
        <v>0</v>
      </c>
      <c r="P220" s="10">
        <f t="shared" si="134"/>
        <v>7165</v>
      </c>
      <c r="Q220" s="10">
        <f t="shared" si="135"/>
        <v>0</v>
      </c>
      <c r="R220" s="10" t="str">
        <f t="shared" si="136"/>
        <v>Yes</v>
      </c>
      <c r="S220" s="10" t="str">
        <f t="shared" si="137"/>
        <v>Nammoona Waste &amp; Resource Recovery Facility 55 Dargaville Drive Casino NSW 2470</v>
      </c>
      <c r="T220" s="10" t="str">
        <f t="shared" si="138"/>
        <v>Evans Head Transfer Station 972 Broadwater Evans Head Road Evans Head NSW 2473</v>
      </c>
      <c r="U220" s="10" t="str">
        <f t="shared" si="139"/>
        <v xml:space="preserve">Rappville Transfer Station Carwong Rd Rappville NSW </v>
      </c>
      <c r="V220" s="10">
        <f t="shared" si="140"/>
        <v>0</v>
      </c>
      <c r="W220" s="10">
        <f t="shared" si="141"/>
        <v>0</v>
      </c>
      <c r="X220" s="10">
        <f t="shared" si="142"/>
        <v>0</v>
      </c>
      <c r="Y220" s="10">
        <f t="shared" si="143"/>
        <v>0</v>
      </c>
      <c r="Z220" s="10">
        <f t="shared" si="144"/>
        <v>0</v>
      </c>
      <c r="AA220" s="10">
        <f t="shared" si="145"/>
        <v>0</v>
      </c>
      <c r="AB220" s="10">
        <f t="shared" si="146"/>
        <v>0</v>
      </c>
      <c r="AC220" s="10">
        <f t="shared" si="147"/>
        <v>0</v>
      </c>
      <c r="AD220" s="10">
        <f t="shared" si="148"/>
        <v>0</v>
      </c>
      <c r="AE220" s="10">
        <f t="shared" si="149"/>
        <v>0</v>
      </c>
      <c r="AF220" s="10">
        <f t="shared" si="150"/>
        <v>0</v>
      </c>
      <c r="AG220" s="10">
        <f t="shared" si="151"/>
        <v>0</v>
      </c>
      <c r="AH220" s="10">
        <f t="shared" si="152"/>
        <v>0</v>
      </c>
      <c r="AI220" s="10">
        <f t="shared" si="153"/>
        <v>0</v>
      </c>
      <c r="AJ220" s="10">
        <f t="shared" si="154"/>
        <v>0</v>
      </c>
      <c r="AK220" s="10">
        <f t="shared" si="155"/>
        <v>0</v>
      </c>
      <c r="AL220" s="10">
        <f t="shared" si="156"/>
        <v>0</v>
      </c>
      <c r="AM220" s="10">
        <f t="shared" si="157"/>
        <v>0</v>
      </c>
      <c r="AN220" s="46">
        <f t="shared" si="158"/>
        <v>0</v>
      </c>
      <c r="AO220" s="10">
        <f t="shared" si="159"/>
        <v>0</v>
      </c>
      <c r="AP220" s="10">
        <f t="shared" si="160"/>
        <v>0</v>
      </c>
      <c r="AQ220" s="10">
        <f t="shared" si="161"/>
        <v>0</v>
      </c>
      <c r="AR220" s="10">
        <f t="shared" si="162"/>
        <v>0</v>
      </c>
      <c r="AS220" s="10">
        <f t="shared" si="163"/>
        <v>0</v>
      </c>
      <c r="AT220" s="10">
        <f t="shared" si="164"/>
        <v>0</v>
      </c>
      <c r="AU220" s="10">
        <f t="shared" si="165"/>
        <v>0</v>
      </c>
      <c r="AV220" s="10">
        <f t="shared" si="166"/>
        <v>0</v>
      </c>
      <c r="AW220" s="10">
        <f t="shared" si="167"/>
        <v>0</v>
      </c>
      <c r="AX220" s="10">
        <f t="shared" si="168"/>
        <v>0</v>
      </c>
    </row>
    <row r="221" spans="1:50" x14ac:dyDescent="0.2">
      <c r="A221" s="8">
        <v>17000</v>
      </c>
      <c r="B221" s="89" t="str">
        <f t="shared" si="120"/>
        <v>Singleton</v>
      </c>
      <c r="C221" s="9" t="str">
        <f t="shared" si="121"/>
        <v>Hunter</v>
      </c>
      <c r="D221" s="51" t="str">
        <f t="shared" si="122"/>
        <v>R</v>
      </c>
      <c r="E221" s="10" t="str">
        <f t="shared" si="123"/>
        <v>HJO</v>
      </c>
      <c r="F221" s="10">
        <f t="shared" si="124"/>
        <v>23380</v>
      </c>
      <c r="G221" s="10">
        <f t="shared" si="125"/>
        <v>11194</v>
      </c>
      <c r="H221" s="10">
        <f t="shared" si="126"/>
        <v>2.0886189029837414</v>
      </c>
      <c r="I221" s="10">
        <f t="shared" si="127"/>
        <v>4892.7</v>
      </c>
      <c r="J221" s="10">
        <f t="shared" si="128"/>
        <v>4.8</v>
      </c>
      <c r="K221" s="10">
        <f t="shared" si="129"/>
        <v>451</v>
      </c>
      <c r="L221" s="10" t="str">
        <f t="shared" si="130"/>
        <v>Y</v>
      </c>
      <c r="M221" s="10">
        <f t="shared" si="131"/>
        <v>8798</v>
      </c>
      <c r="N221" s="10">
        <f t="shared" si="132"/>
        <v>8905</v>
      </c>
      <c r="O221" s="10">
        <f t="shared" si="133"/>
        <v>6706</v>
      </c>
      <c r="P221" s="10">
        <f t="shared" si="134"/>
        <v>0</v>
      </c>
      <c r="Q221" s="10">
        <f t="shared" si="135"/>
        <v>11194</v>
      </c>
      <c r="R221" s="10" t="str">
        <f t="shared" si="136"/>
        <v>Yes</v>
      </c>
      <c r="S221" s="10" t="str">
        <f t="shared" si="137"/>
        <v>Singleton Waste Management Facility, 53 Dyrring Road FERN GULLY NSW</v>
      </c>
      <c r="T221" s="10" t="str">
        <f t="shared" si="138"/>
        <v>Community Recycling Centre, 53 Dyrring Road FERN GULLY NSW</v>
      </c>
      <c r="U221" s="10">
        <f t="shared" si="139"/>
        <v>0</v>
      </c>
      <c r="V221" s="10">
        <f t="shared" si="140"/>
        <v>0</v>
      </c>
      <c r="W221" s="10">
        <f t="shared" si="141"/>
        <v>0</v>
      </c>
      <c r="X221" s="10">
        <f t="shared" si="142"/>
        <v>0</v>
      </c>
      <c r="Y221" s="10">
        <f t="shared" si="143"/>
        <v>0</v>
      </c>
      <c r="Z221" s="10">
        <f t="shared" si="144"/>
        <v>0</v>
      </c>
      <c r="AA221" s="10">
        <f t="shared" si="145"/>
        <v>0</v>
      </c>
      <c r="AB221" s="10">
        <f t="shared" si="146"/>
        <v>0</v>
      </c>
      <c r="AC221" s="10">
        <f t="shared" si="147"/>
        <v>0</v>
      </c>
      <c r="AD221" s="10">
        <f t="shared" si="148"/>
        <v>0</v>
      </c>
      <c r="AE221" s="10">
        <f t="shared" si="149"/>
        <v>0</v>
      </c>
      <c r="AF221" s="10">
        <f t="shared" si="150"/>
        <v>0</v>
      </c>
      <c r="AG221" s="10">
        <f t="shared" si="151"/>
        <v>0</v>
      </c>
      <c r="AH221" s="10">
        <f t="shared" si="152"/>
        <v>0</v>
      </c>
      <c r="AI221" s="10">
        <f t="shared" si="153"/>
        <v>0</v>
      </c>
      <c r="AJ221" s="10">
        <f t="shared" si="154"/>
        <v>0</v>
      </c>
      <c r="AK221" s="10">
        <f t="shared" si="155"/>
        <v>0</v>
      </c>
      <c r="AL221" s="10">
        <f t="shared" si="156"/>
        <v>0</v>
      </c>
      <c r="AM221" s="10">
        <f t="shared" si="157"/>
        <v>0</v>
      </c>
      <c r="AN221" s="46">
        <f t="shared" si="158"/>
        <v>0</v>
      </c>
      <c r="AO221" s="10">
        <f t="shared" si="159"/>
        <v>0</v>
      </c>
      <c r="AP221" s="10">
        <f t="shared" si="160"/>
        <v>0</v>
      </c>
      <c r="AQ221" s="10">
        <f t="shared" si="161"/>
        <v>0</v>
      </c>
      <c r="AR221" s="10">
        <f t="shared" si="162"/>
        <v>0</v>
      </c>
      <c r="AS221" s="10">
        <f t="shared" si="163"/>
        <v>0</v>
      </c>
      <c r="AT221" s="10">
        <f t="shared" si="164"/>
        <v>0</v>
      </c>
      <c r="AU221" s="10">
        <f t="shared" si="165"/>
        <v>0</v>
      </c>
      <c r="AV221" s="10">
        <f t="shared" si="166"/>
        <v>0</v>
      </c>
      <c r="AW221" s="10">
        <f t="shared" si="167"/>
        <v>0</v>
      </c>
      <c r="AX221" s="10">
        <f t="shared" si="168"/>
        <v>0</v>
      </c>
    </row>
    <row r="222" spans="1:50" x14ac:dyDescent="0.2">
      <c r="A222" s="8">
        <v>17550</v>
      </c>
      <c r="B222" s="89" t="str">
        <f t="shared" si="120"/>
        <v>Tweed</v>
      </c>
      <c r="C222" s="9" t="str">
        <f t="shared" si="121"/>
        <v>NEWF</v>
      </c>
      <c r="D222" s="51" t="str">
        <f t="shared" si="122"/>
        <v>R</v>
      </c>
      <c r="E222" s="10" t="str">
        <f t="shared" si="123"/>
        <v>NRJO</v>
      </c>
      <c r="F222" s="10">
        <f t="shared" si="124"/>
        <v>98382</v>
      </c>
      <c r="G222" s="10">
        <f t="shared" si="125"/>
        <v>41548</v>
      </c>
      <c r="H222" s="10">
        <f t="shared" si="126"/>
        <v>2.3679118128429768</v>
      </c>
      <c r="I222" s="10">
        <f t="shared" si="127"/>
        <v>1307.7</v>
      </c>
      <c r="J222" s="10">
        <f t="shared" si="128"/>
        <v>75.2</v>
      </c>
      <c r="K222" s="10">
        <f t="shared" si="129"/>
        <v>497.4</v>
      </c>
      <c r="L222" s="10" t="str">
        <f t="shared" si="130"/>
        <v>Y</v>
      </c>
      <c r="M222" s="10">
        <f t="shared" si="131"/>
        <v>39556</v>
      </c>
      <c r="N222" s="10">
        <f t="shared" si="132"/>
        <v>39013</v>
      </c>
      <c r="O222" s="10">
        <f t="shared" si="133"/>
        <v>0</v>
      </c>
      <c r="P222" s="10">
        <f t="shared" si="134"/>
        <v>26925</v>
      </c>
      <c r="Q222" s="10">
        <f t="shared" si="135"/>
        <v>41548</v>
      </c>
      <c r="R222" s="10" t="str">
        <f t="shared" si="136"/>
        <v>Yes</v>
      </c>
      <c r="S222" s="10" t="str">
        <f t="shared" si="137"/>
        <v>Stotts Creek Resource Recovery Centre</v>
      </c>
      <c r="T222" s="10">
        <f t="shared" si="138"/>
        <v>0</v>
      </c>
      <c r="U222" s="10">
        <f t="shared" si="139"/>
        <v>0</v>
      </c>
      <c r="V222" s="10">
        <f t="shared" si="140"/>
        <v>0</v>
      </c>
      <c r="W222" s="10">
        <f t="shared" si="141"/>
        <v>0</v>
      </c>
      <c r="X222" s="10">
        <f t="shared" si="142"/>
        <v>0</v>
      </c>
      <c r="Y222" s="10">
        <f t="shared" si="143"/>
        <v>0</v>
      </c>
      <c r="Z222" s="10">
        <f t="shared" si="144"/>
        <v>0</v>
      </c>
      <c r="AA222" s="10">
        <f t="shared" si="145"/>
        <v>0</v>
      </c>
      <c r="AB222" s="10">
        <f t="shared" si="146"/>
        <v>0</v>
      </c>
      <c r="AC222" s="10">
        <f t="shared" si="147"/>
        <v>0</v>
      </c>
      <c r="AD222" s="10">
        <f t="shared" si="148"/>
        <v>0</v>
      </c>
      <c r="AE222" s="10">
        <f t="shared" si="149"/>
        <v>0</v>
      </c>
      <c r="AF222" s="10">
        <f t="shared" si="150"/>
        <v>0</v>
      </c>
      <c r="AG222" s="10">
        <f t="shared" si="151"/>
        <v>0</v>
      </c>
      <c r="AH222" s="10">
        <f t="shared" si="152"/>
        <v>0</v>
      </c>
      <c r="AI222" s="10">
        <f t="shared" si="153"/>
        <v>0</v>
      </c>
      <c r="AJ222" s="10">
        <f t="shared" si="154"/>
        <v>0</v>
      </c>
      <c r="AK222" s="10">
        <f t="shared" si="155"/>
        <v>0</v>
      </c>
      <c r="AL222" s="10">
        <f t="shared" si="156"/>
        <v>0</v>
      </c>
      <c r="AM222" s="10">
        <f t="shared" si="157"/>
        <v>0</v>
      </c>
      <c r="AN222" s="46">
        <f t="shared" si="158"/>
        <v>0</v>
      </c>
      <c r="AO222" s="10">
        <f t="shared" si="159"/>
        <v>0</v>
      </c>
      <c r="AP222" s="10">
        <f t="shared" si="160"/>
        <v>0</v>
      </c>
      <c r="AQ222" s="10">
        <f t="shared" si="161"/>
        <v>0</v>
      </c>
      <c r="AR222" s="10">
        <f t="shared" si="162"/>
        <v>0</v>
      </c>
      <c r="AS222" s="10">
        <f t="shared" si="163"/>
        <v>0</v>
      </c>
      <c r="AT222" s="10">
        <f t="shared" si="164"/>
        <v>0</v>
      </c>
      <c r="AU222" s="10">
        <f t="shared" si="165"/>
        <v>0</v>
      </c>
      <c r="AV222" s="10">
        <f t="shared" si="166"/>
        <v>0</v>
      </c>
      <c r="AW222" s="10">
        <f t="shared" si="167"/>
        <v>0</v>
      </c>
      <c r="AX222" s="10">
        <f t="shared" si="168"/>
        <v>0</v>
      </c>
    </row>
    <row r="223" spans="1:50" x14ac:dyDescent="0.2">
      <c r="A223" s="8">
        <v>17620</v>
      </c>
      <c r="B223" s="89" t="str">
        <f t="shared" si="120"/>
        <v>Upper Hunter Shire</v>
      </c>
      <c r="C223" s="9" t="str">
        <f t="shared" si="121"/>
        <v>Hunter</v>
      </c>
      <c r="D223" s="51" t="str">
        <f t="shared" si="122"/>
        <v>R</v>
      </c>
      <c r="E223" s="10" t="str">
        <f t="shared" si="123"/>
        <v>HJO</v>
      </c>
      <c r="F223" s="10">
        <f t="shared" si="124"/>
        <v>14167</v>
      </c>
      <c r="G223" s="10">
        <f t="shared" si="125"/>
        <v>7633</v>
      </c>
      <c r="H223" s="10">
        <f t="shared" si="126"/>
        <v>1.8560199135333422</v>
      </c>
      <c r="I223" s="10">
        <f t="shared" si="127"/>
        <v>8096.1</v>
      </c>
      <c r="J223" s="10">
        <f t="shared" si="128"/>
        <v>1.7</v>
      </c>
      <c r="K223" s="10">
        <f t="shared" si="129"/>
        <v>665</v>
      </c>
      <c r="L223" s="10" t="str">
        <f t="shared" si="130"/>
        <v>Y</v>
      </c>
      <c r="M223" s="10">
        <f t="shared" si="131"/>
        <v>4755</v>
      </c>
      <c r="N223" s="10">
        <f t="shared" si="132"/>
        <v>4704</v>
      </c>
      <c r="O223" s="10">
        <f t="shared" si="133"/>
        <v>0</v>
      </c>
      <c r="P223" s="10">
        <f t="shared" si="134"/>
        <v>0</v>
      </c>
      <c r="Q223" s="10">
        <f t="shared" si="135"/>
        <v>7633</v>
      </c>
      <c r="R223" s="10" t="str">
        <f t="shared" si="136"/>
        <v>Yes</v>
      </c>
      <c r="S223" s="10" t="str">
        <f t="shared" si="137"/>
        <v>Scone WMF Noblet Rd Scone</v>
      </c>
      <c r="T223" s="10" t="str">
        <f t="shared" si="138"/>
        <v>Aberdeen WMF Wells Gully Rd Aberdeen</v>
      </c>
      <c r="U223" s="10" t="str">
        <f t="shared" si="139"/>
        <v>Merriwa WMF Depot Rd Merriwa</v>
      </c>
      <c r="V223" s="10" t="str">
        <f t="shared" si="140"/>
        <v>Murrurundi WMF Halls Rd Murrurundi</v>
      </c>
      <c r="W223" s="10">
        <f t="shared" si="141"/>
        <v>0</v>
      </c>
      <c r="X223" s="10">
        <f t="shared" si="142"/>
        <v>0</v>
      </c>
      <c r="Y223" s="10">
        <f t="shared" si="143"/>
        <v>0</v>
      </c>
      <c r="Z223" s="10">
        <f t="shared" si="144"/>
        <v>0</v>
      </c>
      <c r="AA223" s="10">
        <f t="shared" si="145"/>
        <v>0</v>
      </c>
      <c r="AB223" s="10">
        <f t="shared" si="146"/>
        <v>0</v>
      </c>
      <c r="AC223" s="10">
        <f t="shared" si="147"/>
        <v>0</v>
      </c>
      <c r="AD223" s="10">
        <f t="shared" si="148"/>
        <v>0</v>
      </c>
      <c r="AE223" s="10">
        <f t="shared" si="149"/>
        <v>0</v>
      </c>
      <c r="AF223" s="10">
        <f t="shared" si="150"/>
        <v>0</v>
      </c>
      <c r="AG223" s="10">
        <f t="shared" si="151"/>
        <v>0</v>
      </c>
      <c r="AH223" s="10">
        <f t="shared" si="152"/>
        <v>0</v>
      </c>
      <c r="AI223" s="10">
        <f t="shared" si="153"/>
        <v>0</v>
      </c>
      <c r="AJ223" s="10">
        <f t="shared" si="154"/>
        <v>0</v>
      </c>
      <c r="AK223" s="10">
        <f t="shared" si="155"/>
        <v>0</v>
      </c>
      <c r="AL223" s="10">
        <f t="shared" si="156"/>
        <v>0</v>
      </c>
      <c r="AM223" s="10">
        <f t="shared" si="157"/>
        <v>0</v>
      </c>
      <c r="AN223" s="46">
        <f t="shared" si="158"/>
        <v>0</v>
      </c>
      <c r="AO223" s="10">
        <f t="shared" si="159"/>
        <v>0</v>
      </c>
      <c r="AP223" s="10">
        <f t="shared" si="160"/>
        <v>0</v>
      </c>
      <c r="AQ223" s="10">
        <f t="shared" si="161"/>
        <v>0</v>
      </c>
      <c r="AR223" s="10">
        <f t="shared" si="162"/>
        <v>0</v>
      </c>
      <c r="AS223" s="10">
        <f t="shared" si="163"/>
        <v>0</v>
      </c>
      <c r="AT223" s="10">
        <f t="shared" si="164"/>
        <v>0</v>
      </c>
      <c r="AU223" s="10">
        <f t="shared" si="165"/>
        <v>0</v>
      </c>
      <c r="AV223" s="10">
        <f t="shared" si="166"/>
        <v>0</v>
      </c>
      <c r="AW223" s="10">
        <f t="shared" si="167"/>
        <v>0</v>
      </c>
      <c r="AX223" s="10">
        <f t="shared" si="168"/>
        <v>0</v>
      </c>
    </row>
    <row r="224" spans="1:50" ht="13.5" thickBot="1" x14ac:dyDescent="0.25">
      <c r="A224" s="8">
        <v>18400</v>
      </c>
      <c r="B224" s="89" t="str">
        <f t="shared" si="120"/>
        <v>Wollondilly</v>
      </c>
      <c r="C224" s="9" t="str">
        <f t="shared" si="121"/>
        <v>MSWA</v>
      </c>
      <c r="D224" s="51" t="str">
        <f t="shared" si="122"/>
        <v>R</v>
      </c>
      <c r="E224" s="10">
        <f t="shared" si="123"/>
        <v>0</v>
      </c>
      <c r="F224" s="10">
        <f t="shared" si="124"/>
        <v>54005</v>
      </c>
      <c r="G224" s="10">
        <f t="shared" si="125"/>
        <v>20909</v>
      </c>
      <c r="H224" s="10">
        <f t="shared" si="126"/>
        <v>2.5828590559089388</v>
      </c>
      <c r="I224" s="10">
        <f t="shared" si="127"/>
        <v>2555.4</v>
      </c>
      <c r="J224" s="10">
        <f t="shared" si="128"/>
        <v>21.1</v>
      </c>
      <c r="K224" s="10">
        <f t="shared" si="129"/>
        <v>572.9</v>
      </c>
      <c r="L224" s="10" t="str">
        <f t="shared" si="130"/>
        <v>Y</v>
      </c>
      <c r="M224" s="10">
        <f t="shared" si="131"/>
        <v>18960.010000000002</v>
      </c>
      <c r="N224" s="10">
        <f t="shared" si="132"/>
        <v>14307</v>
      </c>
      <c r="O224" s="10">
        <f t="shared" si="133"/>
        <v>11165</v>
      </c>
      <c r="P224" s="10">
        <f t="shared" si="134"/>
        <v>0</v>
      </c>
      <c r="Q224" s="10">
        <f t="shared" si="135"/>
        <v>20909</v>
      </c>
      <c r="R224" s="10" t="str">
        <f t="shared" si="136"/>
        <v>Yes</v>
      </c>
      <c r="S224" s="10" t="str">
        <f t="shared" si="137"/>
        <v>Bargo Waste Management Centre, Anthony Road Bargo</v>
      </c>
      <c r="T224" s="10">
        <f t="shared" si="138"/>
        <v>0</v>
      </c>
      <c r="U224" s="10">
        <f t="shared" si="139"/>
        <v>0</v>
      </c>
      <c r="V224" s="10">
        <f t="shared" si="140"/>
        <v>0</v>
      </c>
      <c r="W224" s="10">
        <f t="shared" si="141"/>
        <v>0</v>
      </c>
      <c r="X224" s="10">
        <f t="shared" si="142"/>
        <v>0</v>
      </c>
      <c r="Y224" s="10">
        <f t="shared" si="143"/>
        <v>0</v>
      </c>
      <c r="Z224" s="10">
        <f t="shared" si="144"/>
        <v>0</v>
      </c>
      <c r="AA224" s="10">
        <f t="shared" si="145"/>
        <v>0</v>
      </c>
      <c r="AB224" s="10">
        <f t="shared" si="146"/>
        <v>0</v>
      </c>
      <c r="AC224" s="10">
        <f t="shared" si="147"/>
        <v>0</v>
      </c>
      <c r="AD224" s="10">
        <f t="shared" si="148"/>
        <v>0</v>
      </c>
      <c r="AE224" s="10">
        <f t="shared" si="149"/>
        <v>0</v>
      </c>
      <c r="AF224" s="10">
        <f t="shared" si="150"/>
        <v>0</v>
      </c>
      <c r="AG224" s="10">
        <f t="shared" si="151"/>
        <v>0</v>
      </c>
      <c r="AH224" s="10">
        <f t="shared" si="152"/>
        <v>0</v>
      </c>
      <c r="AI224" s="10">
        <f t="shared" si="153"/>
        <v>0</v>
      </c>
      <c r="AJ224" s="10">
        <f t="shared" si="154"/>
        <v>0</v>
      </c>
      <c r="AK224" s="10">
        <f t="shared" si="155"/>
        <v>0</v>
      </c>
      <c r="AL224" s="10">
        <f t="shared" si="156"/>
        <v>0</v>
      </c>
      <c r="AM224" s="10">
        <f t="shared" si="157"/>
        <v>0</v>
      </c>
      <c r="AN224" s="46">
        <f t="shared" si="158"/>
        <v>0</v>
      </c>
      <c r="AO224" s="10">
        <f t="shared" si="159"/>
        <v>0</v>
      </c>
      <c r="AP224" s="10">
        <f t="shared" si="160"/>
        <v>0</v>
      </c>
      <c r="AQ224" s="10">
        <f t="shared" si="161"/>
        <v>0</v>
      </c>
      <c r="AR224" s="10">
        <f t="shared" si="162"/>
        <v>0</v>
      </c>
      <c r="AS224" s="10">
        <f t="shared" si="163"/>
        <v>0</v>
      </c>
      <c r="AT224" s="10">
        <f t="shared" si="164"/>
        <v>0</v>
      </c>
      <c r="AU224" s="10">
        <f t="shared" si="165"/>
        <v>0</v>
      </c>
      <c r="AV224" s="10">
        <f t="shared" si="166"/>
        <v>0</v>
      </c>
      <c r="AW224" s="10">
        <f t="shared" si="167"/>
        <v>0</v>
      </c>
      <c r="AX224" s="10">
        <f t="shared" si="168"/>
        <v>0</v>
      </c>
    </row>
    <row r="225" spans="1:50" ht="13.5" thickTop="1" x14ac:dyDescent="0.2">
      <c r="A225" s="11"/>
      <c r="B225" s="11"/>
      <c r="C225" s="11" t="s">
        <v>30</v>
      </c>
      <c r="D225" s="11"/>
      <c r="E225" s="12"/>
      <c r="F225" s="13">
        <f t="shared" ref="F225:AX225" si="169">COUNTIF(F206:F224,"&gt;0")</f>
        <v>19</v>
      </c>
      <c r="G225" s="13">
        <f t="shared" si="169"/>
        <v>19</v>
      </c>
      <c r="H225" s="13">
        <f t="shared" si="169"/>
        <v>19</v>
      </c>
      <c r="I225" s="13">
        <f t="shared" si="169"/>
        <v>19</v>
      </c>
      <c r="J225" s="13">
        <f t="shared" si="169"/>
        <v>19</v>
      </c>
      <c r="K225" s="13">
        <f t="shared" si="169"/>
        <v>19</v>
      </c>
      <c r="L225" s="13">
        <f t="shared" si="169"/>
        <v>0</v>
      </c>
      <c r="M225" s="13">
        <f t="shared" si="169"/>
        <v>19</v>
      </c>
      <c r="N225" s="13">
        <f t="shared" si="169"/>
        <v>19</v>
      </c>
      <c r="O225" s="13">
        <f t="shared" si="169"/>
        <v>5</v>
      </c>
      <c r="P225" s="13">
        <f t="shared" si="169"/>
        <v>11</v>
      </c>
      <c r="Q225" s="13">
        <f t="shared" si="169"/>
        <v>14</v>
      </c>
      <c r="R225" s="13">
        <f t="shared" si="169"/>
        <v>0</v>
      </c>
      <c r="S225" s="13">
        <f t="shared" si="169"/>
        <v>0</v>
      </c>
      <c r="T225" s="13">
        <f t="shared" si="169"/>
        <v>0</v>
      </c>
      <c r="U225" s="13">
        <f t="shared" si="169"/>
        <v>0</v>
      </c>
      <c r="V225" s="13">
        <f t="shared" si="169"/>
        <v>0</v>
      </c>
      <c r="W225" s="13">
        <f t="shared" si="169"/>
        <v>0</v>
      </c>
      <c r="X225" s="13">
        <f t="shared" si="169"/>
        <v>0</v>
      </c>
      <c r="Y225" s="13">
        <f t="shared" si="169"/>
        <v>0</v>
      </c>
      <c r="Z225" s="13">
        <f t="shared" si="169"/>
        <v>0</v>
      </c>
      <c r="AA225" s="13">
        <f t="shared" si="169"/>
        <v>0</v>
      </c>
      <c r="AB225" s="13">
        <f t="shared" si="169"/>
        <v>0</v>
      </c>
      <c r="AC225" s="13">
        <f t="shared" si="169"/>
        <v>0</v>
      </c>
      <c r="AD225" s="13">
        <f t="shared" si="169"/>
        <v>0</v>
      </c>
      <c r="AE225" s="13">
        <f t="shared" si="169"/>
        <v>0</v>
      </c>
      <c r="AF225" s="13">
        <f t="shared" si="169"/>
        <v>0</v>
      </c>
      <c r="AG225" s="13">
        <f t="shared" si="169"/>
        <v>0</v>
      </c>
      <c r="AH225" s="13">
        <f t="shared" si="169"/>
        <v>0</v>
      </c>
      <c r="AI225" s="13">
        <f t="shared" si="169"/>
        <v>0</v>
      </c>
      <c r="AJ225" s="13">
        <f t="shared" si="169"/>
        <v>0</v>
      </c>
      <c r="AK225" s="13">
        <f t="shared" si="169"/>
        <v>0</v>
      </c>
      <c r="AL225" s="13">
        <f t="shared" si="169"/>
        <v>0</v>
      </c>
      <c r="AM225" s="44">
        <f t="shared" si="169"/>
        <v>0</v>
      </c>
      <c r="AN225" s="13">
        <f t="shared" si="169"/>
        <v>0</v>
      </c>
      <c r="AO225" s="13">
        <f t="shared" si="169"/>
        <v>0</v>
      </c>
      <c r="AP225" s="13">
        <f t="shared" si="169"/>
        <v>0</v>
      </c>
      <c r="AQ225" s="13">
        <f t="shared" si="169"/>
        <v>0</v>
      </c>
      <c r="AR225" s="13">
        <f t="shared" si="169"/>
        <v>0</v>
      </c>
      <c r="AS225" s="13">
        <f t="shared" si="169"/>
        <v>0</v>
      </c>
      <c r="AT225" s="13">
        <f t="shared" si="169"/>
        <v>0</v>
      </c>
      <c r="AU225" s="13">
        <f t="shared" si="169"/>
        <v>0</v>
      </c>
      <c r="AV225" s="13">
        <f t="shared" si="169"/>
        <v>0</v>
      </c>
      <c r="AW225" s="13">
        <f t="shared" si="169"/>
        <v>0</v>
      </c>
      <c r="AX225" s="13">
        <f t="shared" si="169"/>
        <v>0</v>
      </c>
    </row>
    <row r="226" spans="1:50" x14ac:dyDescent="0.2">
      <c r="A226" s="8"/>
      <c r="B226" s="14" t="s">
        <v>11</v>
      </c>
      <c r="C226" s="8" t="s">
        <v>31</v>
      </c>
      <c r="D226" s="8"/>
      <c r="E226" s="80"/>
      <c r="F226" s="15">
        <f t="shared" ref="F226:AX226" si="170">SUM(F206:F224)</f>
        <v>824731</v>
      </c>
      <c r="G226" s="15">
        <f t="shared" si="170"/>
        <v>379256</v>
      </c>
      <c r="H226" s="110">
        <f>F226/G226</f>
        <v>2.1746023793954481</v>
      </c>
      <c r="I226" s="15">
        <f t="shared" si="170"/>
        <v>64714.000000000007</v>
      </c>
      <c r="J226" s="15">
        <f t="shared" si="170"/>
        <v>501.99999999999994</v>
      </c>
      <c r="K226" s="15">
        <f t="shared" si="170"/>
        <v>9277.9999999999982</v>
      </c>
      <c r="L226" s="15">
        <f t="shared" si="170"/>
        <v>0</v>
      </c>
      <c r="M226" s="15">
        <f t="shared" si="170"/>
        <v>325279.01</v>
      </c>
      <c r="N226" s="15">
        <f t="shared" si="170"/>
        <v>316252</v>
      </c>
      <c r="O226" s="15">
        <f t="shared" si="170"/>
        <v>95115</v>
      </c>
      <c r="P226" s="15">
        <f t="shared" si="170"/>
        <v>173620</v>
      </c>
      <c r="Q226" s="15">
        <f t="shared" si="170"/>
        <v>310923</v>
      </c>
      <c r="R226" s="15">
        <f t="shared" si="170"/>
        <v>0</v>
      </c>
      <c r="S226" s="15">
        <f t="shared" si="170"/>
        <v>0</v>
      </c>
      <c r="T226" s="15">
        <f t="shared" si="170"/>
        <v>0</v>
      </c>
      <c r="U226" s="15">
        <f t="shared" si="170"/>
        <v>0</v>
      </c>
      <c r="V226" s="15">
        <f t="shared" si="170"/>
        <v>0</v>
      </c>
      <c r="W226" s="15">
        <f t="shared" si="170"/>
        <v>0</v>
      </c>
      <c r="X226" s="15">
        <f t="shared" si="170"/>
        <v>0</v>
      </c>
      <c r="Y226" s="15">
        <f t="shared" si="170"/>
        <v>0</v>
      </c>
      <c r="Z226" s="15">
        <f t="shared" si="170"/>
        <v>0</v>
      </c>
      <c r="AA226" s="15">
        <f t="shared" si="170"/>
        <v>0</v>
      </c>
      <c r="AB226" s="15">
        <f t="shared" si="170"/>
        <v>0</v>
      </c>
      <c r="AC226" s="15">
        <f t="shared" si="170"/>
        <v>0</v>
      </c>
      <c r="AD226" s="15">
        <f t="shared" si="170"/>
        <v>0</v>
      </c>
      <c r="AE226" s="15">
        <f t="shared" si="170"/>
        <v>0</v>
      </c>
      <c r="AF226" s="15">
        <f t="shared" si="170"/>
        <v>0</v>
      </c>
      <c r="AG226" s="15">
        <f t="shared" si="170"/>
        <v>0</v>
      </c>
      <c r="AH226" s="15">
        <f t="shared" si="170"/>
        <v>0</v>
      </c>
      <c r="AI226" s="15">
        <f t="shared" si="170"/>
        <v>0</v>
      </c>
      <c r="AJ226" s="15">
        <f t="shared" si="170"/>
        <v>0</v>
      </c>
      <c r="AK226" s="15">
        <f t="shared" si="170"/>
        <v>0</v>
      </c>
      <c r="AL226" s="15">
        <f t="shared" si="170"/>
        <v>0</v>
      </c>
      <c r="AM226" s="45">
        <f t="shared" si="170"/>
        <v>0</v>
      </c>
      <c r="AN226" s="15">
        <f t="shared" si="170"/>
        <v>0</v>
      </c>
      <c r="AO226" s="15">
        <f t="shared" si="170"/>
        <v>0</v>
      </c>
      <c r="AP226" s="15">
        <f t="shared" si="170"/>
        <v>0</v>
      </c>
      <c r="AQ226" s="15">
        <f t="shared" si="170"/>
        <v>0</v>
      </c>
      <c r="AR226" s="15">
        <f t="shared" si="170"/>
        <v>0</v>
      </c>
      <c r="AS226" s="15">
        <f t="shared" si="170"/>
        <v>0</v>
      </c>
      <c r="AT226" s="15">
        <f t="shared" si="170"/>
        <v>0</v>
      </c>
      <c r="AU226" s="15">
        <f t="shared" si="170"/>
        <v>0</v>
      </c>
      <c r="AV226" s="15">
        <f t="shared" si="170"/>
        <v>0</v>
      </c>
      <c r="AW226" s="15">
        <f t="shared" si="170"/>
        <v>0</v>
      </c>
      <c r="AX226" s="15">
        <f t="shared" si="170"/>
        <v>0</v>
      </c>
    </row>
    <row r="227" spans="1:50" x14ac:dyDescent="0.2">
      <c r="A227" s="8"/>
      <c r="B227" s="14"/>
      <c r="C227" s="8" t="s">
        <v>32</v>
      </c>
      <c r="D227" s="8"/>
      <c r="E227" s="80"/>
      <c r="F227" s="10">
        <f t="shared" ref="F227:AX227" si="171">MIN(F206:F224)</f>
        <v>8788</v>
      </c>
      <c r="G227" s="10">
        <f t="shared" si="171"/>
        <v>4042</v>
      </c>
      <c r="H227" s="10">
        <f t="shared" si="171"/>
        <v>1.8233962264150942</v>
      </c>
      <c r="I227" s="10">
        <f t="shared" si="171"/>
        <v>484.9</v>
      </c>
      <c r="J227" s="10">
        <f t="shared" si="171"/>
        <v>1.7</v>
      </c>
      <c r="K227" s="10">
        <f t="shared" si="171"/>
        <v>316.2</v>
      </c>
      <c r="L227" s="10">
        <f t="shared" si="171"/>
        <v>0</v>
      </c>
      <c r="M227" s="10">
        <f t="shared" si="171"/>
        <v>1970</v>
      </c>
      <c r="N227" s="10">
        <f t="shared" si="171"/>
        <v>1970</v>
      </c>
      <c r="O227" s="10">
        <f t="shared" si="171"/>
        <v>0</v>
      </c>
      <c r="P227" s="10">
        <f t="shared" si="171"/>
        <v>0</v>
      </c>
      <c r="Q227" s="10">
        <f t="shared" si="171"/>
        <v>0</v>
      </c>
      <c r="R227" s="10">
        <f t="shared" si="171"/>
        <v>0</v>
      </c>
      <c r="S227" s="10">
        <f t="shared" si="171"/>
        <v>0</v>
      </c>
      <c r="T227" s="10">
        <f t="shared" si="171"/>
        <v>0</v>
      </c>
      <c r="U227" s="10">
        <f t="shared" si="171"/>
        <v>0</v>
      </c>
      <c r="V227" s="10">
        <f t="shared" si="171"/>
        <v>0</v>
      </c>
      <c r="W227" s="10">
        <f t="shared" si="171"/>
        <v>0</v>
      </c>
      <c r="X227" s="10">
        <f t="shared" si="171"/>
        <v>0</v>
      </c>
      <c r="Y227" s="10">
        <f t="shared" si="171"/>
        <v>0</v>
      </c>
      <c r="Z227" s="10">
        <f t="shared" si="171"/>
        <v>0</v>
      </c>
      <c r="AA227" s="10">
        <f t="shared" si="171"/>
        <v>0</v>
      </c>
      <c r="AB227" s="10">
        <f t="shared" si="171"/>
        <v>0</v>
      </c>
      <c r="AC227" s="10">
        <f t="shared" si="171"/>
        <v>0</v>
      </c>
      <c r="AD227" s="10">
        <f t="shared" si="171"/>
        <v>0</v>
      </c>
      <c r="AE227" s="10">
        <f t="shared" si="171"/>
        <v>0</v>
      </c>
      <c r="AF227" s="10">
        <f t="shared" si="171"/>
        <v>0</v>
      </c>
      <c r="AG227" s="10">
        <f t="shared" si="171"/>
        <v>0</v>
      </c>
      <c r="AH227" s="10">
        <f t="shared" si="171"/>
        <v>0</v>
      </c>
      <c r="AI227" s="10">
        <f t="shared" si="171"/>
        <v>0</v>
      </c>
      <c r="AJ227" s="10">
        <f t="shared" si="171"/>
        <v>0</v>
      </c>
      <c r="AK227" s="10">
        <f t="shared" si="171"/>
        <v>0</v>
      </c>
      <c r="AL227" s="10">
        <f t="shared" si="171"/>
        <v>0</v>
      </c>
      <c r="AM227" s="46">
        <f t="shared" si="171"/>
        <v>0</v>
      </c>
      <c r="AN227" s="10">
        <f t="shared" si="171"/>
        <v>0</v>
      </c>
      <c r="AO227" s="10">
        <f t="shared" si="171"/>
        <v>0</v>
      </c>
      <c r="AP227" s="10">
        <f t="shared" si="171"/>
        <v>0</v>
      </c>
      <c r="AQ227" s="10">
        <f t="shared" si="171"/>
        <v>0</v>
      </c>
      <c r="AR227" s="10">
        <f t="shared" si="171"/>
        <v>0</v>
      </c>
      <c r="AS227" s="10">
        <f t="shared" si="171"/>
        <v>0</v>
      </c>
      <c r="AT227" s="10">
        <f t="shared" si="171"/>
        <v>0</v>
      </c>
      <c r="AU227" s="10">
        <f t="shared" si="171"/>
        <v>0</v>
      </c>
      <c r="AV227" s="10">
        <f t="shared" si="171"/>
        <v>0</v>
      </c>
      <c r="AW227" s="10">
        <f t="shared" si="171"/>
        <v>0</v>
      </c>
      <c r="AX227" s="10">
        <f t="shared" si="171"/>
        <v>0</v>
      </c>
    </row>
    <row r="228" spans="1:50" x14ac:dyDescent="0.2">
      <c r="A228" s="8"/>
      <c r="B228" s="14"/>
      <c r="C228" s="8" t="s">
        <v>33</v>
      </c>
      <c r="D228" s="8"/>
      <c r="E228" s="80"/>
      <c r="F228" s="10">
        <f t="shared" ref="F228:AX228" si="172">MAX(F206:F224)</f>
        <v>98382</v>
      </c>
      <c r="G228" s="10">
        <f t="shared" si="172"/>
        <v>47401</v>
      </c>
      <c r="H228" s="10">
        <f t="shared" si="172"/>
        <v>2.5828590559089388</v>
      </c>
      <c r="I228" s="10">
        <f t="shared" si="172"/>
        <v>10428.700000000001</v>
      </c>
      <c r="J228" s="10">
        <f t="shared" si="172"/>
        <v>93.2</v>
      </c>
      <c r="K228" s="10">
        <f t="shared" si="172"/>
        <v>764</v>
      </c>
      <c r="L228" s="10">
        <f t="shared" si="172"/>
        <v>0</v>
      </c>
      <c r="M228" s="10">
        <f t="shared" si="172"/>
        <v>45518</v>
      </c>
      <c r="N228" s="10">
        <f t="shared" si="172"/>
        <v>45143</v>
      </c>
      <c r="O228" s="10">
        <f t="shared" si="172"/>
        <v>37979</v>
      </c>
      <c r="P228" s="10">
        <f t="shared" si="172"/>
        <v>31030</v>
      </c>
      <c r="Q228" s="10">
        <f t="shared" si="172"/>
        <v>47401</v>
      </c>
      <c r="R228" s="10">
        <f t="shared" si="172"/>
        <v>0</v>
      </c>
      <c r="S228" s="10">
        <f t="shared" si="172"/>
        <v>0</v>
      </c>
      <c r="T228" s="10">
        <f t="shared" si="172"/>
        <v>0</v>
      </c>
      <c r="U228" s="10">
        <f t="shared" si="172"/>
        <v>0</v>
      </c>
      <c r="V228" s="10">
        <f t="shared" si="172"/>
        <v>0</v>
      </c>
      <c r="W228" s="10">
        <f t="shared" si="172"/>
        <v>0</v>
      </c>
      <c r="X228" s="10">
        <f t="shared" si="172"/>
        <v>0</v>
      </c>
      <c r="Y228" s="10">
        <f t="shared" si="172"/>
        <v>0</v>
      </c>
      <c r="Z228" s="10">
        <f t="shared" si="172"/>
        <v>0</v>
      </c>
      <c r="AA228" s="10">
        <f t="shared" si="172"/>
        <v>0</v>
      </c>
      <c r="AB228" s="10">
        <f t="shared" si="172"/>
        <v>0</v>
      </c>
      <c r="AC228" s="10">
        <f t="shared" si="172"/>
        <v>0</v>
      </c>
      <c r="AD228" s="10">
        <f t="shared" si="172"/>
        <v>0</v>
      </c>
      <c r="AE228" s="10">
        <f t="shared" si="172"/>
        <v>0</v>
      </c>
      <c r="AF228" s="10">
        <f t="shared" si="172"/>
        <v>0</v>
      </c>
      <c r="AG228" s="10">
        <f t="shared" si="172"/>
        <v>0</v>
      </c>
      <c r="AH228" s="10">
        <f t="shared" si="172"/>
        <v>0</v>
      </c>
      <c r="AI228" s="10">
        <f t="shared" si="172"/>
        <v>0</v>
      </c>
      <c r="AJ228" s="10">
        <f t="shared" si="172"/>
        <v>0</v>
      </c>
      <c r="AK228" s="10">
        <f t="shared" si="172"/>
        <v>0</v>
      </c>
      <c r="AL228" s="10">
        <f t="shared" si="172"/>
        <v>0</v>
      </c>
      <c r="AM228" s="46">
        <f t="shared" si="172"/>
        <v>0</v>
      </c>
      <c r="AN228" s="10">
        <f t="shared" si="172"/>
        <v>0</v>
      </c>
      <c r="AO228" s="10">
        <f t="shared" si="172"/>
        <v>0</v>
      </c>
      <c r="AP228" s="10">
        <f t="shared" si="172"/>
        <v>0</v>
      </c>
      <c r="AQ228" s="10">
        <f t="shared" si="172"/>
        <v>0</v>
      </c>
      <c r="AR228" s="10">
        <f t="shared" si="172"/>
        <v>0</v>
      </c>
      <c r="AS228" s="10">
        <f t="shared" si="172"/>
        <v>0</v>
      </c>
      <c r="AT228" s="10">
        <f t="shared" si="172"/>
        <v>0</v>
      </c>
      <c r="AU228" s="10">
        <f t="shared" si="172"/>
        <v>0</v>
      </c>
      <c r="AV228" s="10">
        <f t="shared" si="172"/>
        <v>0</v>
      </c>
      <c r="AW228" s="10">
        <f t="shared" si="172"/>
        <v>0</v>
      </c>
      <c r="AX228" s="10">
        <f t="shared" si="172"/>
        <v>0</v>
      </c>
    </row>
    <row r="229" spans="1:50" x14ac:dyDescent="0.2">
      <c r="A229" s="8"/>
      <c r="B229" s="14"/>
      <c r="C229" s="8" t="s">
        <v>34</v>
      </c>
      <c r="D229" s="8"/>
      <c r="E229" s="80"/>
      <c r="F229" s="10">
        <f t="shared" ref="F229:AX229" si="173">AVERAGE(F206:F224)</f>
        <v>43406.894736842107</v>
      </c>
      <c r="G229" s="10">
        <f t="shared" si="173"/>
        <v>19960.842105263157</v>
      </c>
      <c r="H229" s="10">
        <f t="shared" si="173"/>
        <v>2.1507332212723873</v>
      </c>
      <c r="I229" s="10">
        <f t="shared" si="173"/>
        <v>3406.0000000000005</v>
      </c>
      <c r="J229" s="10">
        <f t="shared" si="173"/>
        <v>26.421052631578945</v>
      </c>
      <c r="K229" s="10">
        <f t="shared" si="173"/>
        <v>488.31578947368411</v>
      </c>
      <c r="L229" s="10" t="e">
        <f t="shared" si="173"/>
        <v>#DIV/0!</v>
      </c>
      <c r="M229" s="10">
        <f t="shared" si="173"/>
        <v>17119.947894736844</v>
      </c>
      <c r="N229" s="10">
        <f t="shared" si="173"/>
        <v>16644.842105263157</v>
      </c>
      <c r="O229" s="10">
        <f t="shared" si="173"/>
        <v>5006.0526315789475</v>
      </c>
      <c r="P229" s="10">
        <f t="shared" si="173"/>
        <v>9137.894736842105</v>
      </c>
      <c r="Q229" s="10">
        <f t="shared" si="173"/>
        <v>16364.368421052632</v>
      </c>
      <c r="R229" s="10" t="e">
        <f t="shared" si="173"/>
        <v>#DIV/0!</v>
      </c>
      <c r="S229" s="10" t="e">
        <f t="shared" si="173"/>
        <v>#DIV/0!</v>
      </c>
      <c r="T229" s="10">
        <f t="shared" si="173"/>
        <v>0</v>
      </c>
      <c r="U229" s="10">
        <f t="shared" si="173"/>
        <v>0</v>
      </c>
      <c r="V229" s="10">
        <f t="shared" si="173"/>
        <v>0</v>
      </c>
      <c r="W229" s="10">
        <f t="shared" si="173"/>
        <v>0</v>
      </c>
      <c r="X229" s="10">
        <f t="shared" si="173"/>
        <v>0</v>
      </c>
      <c r="Y229" s="10">
        <f t="shared" si="173"/>
        <v>0</v>
      </c>
      <c r="Z229" s="10">
        <f t="shared" si="173"/>
        <v>0</v>
      </c>
      <c r="AA229" s="10">
        <f t="shared" si="173"/>
        <v>0</v>
      </c>
      <c r="AB229" s="10">
        <f t="shared" si="173"/>
        <v>0</v>
      </c>
      <c r="AC229" s="10">
        <f t="shared" si="173"/>
        <v>0</v>
      </c>
      <c r="AD229" s="10">
        <f t="shared" si="173"/>
        <v>0</v>
      </c>
      <c r="AE229" s="10">
        <f t="shared" si="173"/>
        <v>0</v>
      </c>
      <c r="AF229" s="10">
        <f t="shared" si="173"/>
        <v>0</v>
      </c>
      <c r="AG229" s="10">
        <f t="shared" si="173"/>
        <v>0</v>
      </c>
      <c r="AH229" s="10">
        <f t="shared" si="173"/>
        <v>0</v>
      </c>
      <c r="AI229" s="10">
        <f t="shared" si="173"/>
        <v>0</v>
      </c>
      <c r="AJ229" s="10">
        <f t="shared" si="173"/>
        <v>0</v>
      </c>
      <c r="AK229" s="10">
        <f t="shared" si="173"/>
        <v>0</v>
      </c>
      <c r="AL229" s="10">
        <f t="shared" si="173"/>
        <v>0</v>
      </c>
      <c r="AM229" s="46">
        <f t="shared" si="173"/>
        <v>0</v>
      </c>
      <c r="AN229" s="10">
        <f t="shared" si="173"/>
        <v>0</v>
      </c>
      <c r="AO229" s="10">
        <f t="shared" si="173"/>
        <v>0</v>
      </c>
      <c r="AP229" s="10">
        <f t="shared" si="173"/>
        <v>0</v>
      </c>
      <c r="AQ229" s="10">
        <f t="shared" si="173"/>
        <v>0</v>
      </c>
      <c r="AR229" s="10">
        <f t="shared" si="173"/>
        <v>0</v>
      </c>
      <c r="AS229" s="10">
        <f t="shared" si="173"/>
        <v>0</v>
      </c>
      <c r="AT229" s="10">
        <f t="shared" si="173"/>
        <v>0</v>
      </c>
      <c r="AU229" s="10">
        <f t="shared" si="173"/>
        <v>0</v>
      </c>
      <c r="AV229" s="10">
        <f t="shared" si="173"/>
        <v>0</v>
      </c>
      <c r="AW229" s="10">
        <f t="shared" si="173"/>
        <v>0</v>
      </c>
      <c r="AX229" s="10">
        <f t="shared" si="173"/>
        <v>0</v>
      </c>
    </row>
    <row r="230" spans="1:50" ht="13.5" thickBot="1" x14ac:dyDescent="0.25">
      <c r="A230" s="16"/>
      <c r="B230" s="17"/>
      <c r="C230" s="16" t="s">
        <v>35</v>
      </c>
      <c r="D230" s="16"/>
      <c r="E230" s="80"/>
      <c r="F230" s="18">
        <f t="shared" ref="F230:AX230" si="174">MEDIAN(F206:F224)</f>
        <v>35773</v>
      </c>
      <c r="G230" s="18">
        <f t="shared" si="174"/>
        <v>15699</v>
      </c>
      <c r="H230" s="18">
        <f t="shared" si="174"/>
        <v>2.1741712023750619</v>
      </c>
      <c r="I230" s="18">
        <f t="shared" si="174"/>
        <v>2555.4</v>
      </c>
      <c r="J230" s="18">
        <f t="shared" si="174"/>
        <v>9.4</v>
      </c>
      <c r="K230" s="18">
        <f t="shared" si="174"/>
        <v>451</v>
      </c>
      <c r="L230" s="18" t="e">
        <f t="shared" si="174"/>
        <v>#NUM!</v>
      </c>
      <c r="M230" s="18">
        <f t="shared" si="174"/>
        <v>14175</v>
      </c>
      <c r="N230" s="18">
        <f t="shared" si="174"/>
        <v>14109</v>
      </c>
      <c r="O230" s="18">
        <f t="shared" si="174"/>
        <v>0</v>
      </c>
      <c r="P230" s="18">
        <f t="shared" si="174"/>
        <v>6774</v>
      </c>
      <c r="Q230" s="18">
        <f t="shared" si="174"/>
        <v>10166</v>
      </c>
      <c r="R230" s="18" t="e">
        <f t="shared" si="174"/>
        <v>#NUM!</v>
      </c>
      <c r="S230" s="18" t="e">
        <f t="shared" si="174"/>
        <v>#NUM!</v>
      </c>
      <c r="T230" s="18">
        <f t="shared" si="174"/>
        <v>0</v>
      </c>
      <c r="U230" s="18">
        <f t="shared" si="174"/>
        <v>0</v>
      </c>
      <c r="V230" s="18">
        <f t="shared" si="174"/>
        <v>0</v>
      </c>
      <c r="W230" s="18">
        <f t="shared" si="174"/>
        <v>0</v>
      </c>
      <c r="X230" s="18">
        <f t="shared" si="174"/>
        <v>0</v>
      </c>
      <c r="Y230" s="18">
        <f t="shared" si="174"/>
        <v>0</v>
      </c>
      <c r="Z230" s="18">
        <f t="shared" si="174"/>
        <v>0</v>
      </c>
      <c r="AA230" s="18">
        <f t="shared" si="174"/>
        <v>0</v>
      </c>
      <c r="AB230" s="18">
        <f t="shared" si="174"/>
        <v>0</v>
      </c>
      <c r="AC230" s="18">
        <f t="shared" si="174"/>
        <v>0</v>
      </c>
      <c r="AD230" s="18">
        <f t="shared" si="174"/>
        <v>0</v>
      </c>
      <c r="AE230" s="18">
        <f t="shared" si="174"/>
        <v>0</v>
      </c>
      <c r="AF230" s="18">
        <f t="shared" si="174"/>
        <v>0</v>
      </c>
      <c r="AG230" s="18">
        <f t="shared" si="174"/>
        <v>0</v>
      </c>
      <c r="AH230" s="18">
        <f t="shared" si="174"/>
        <v>0</v>
      </c>
      <c r="AI230" s="18">
        <f t="shared" si="174"/>
        <v>0</v>
      </c>
      <c r="AJ230" s="18">
        <f t="shared" si="174"/>
        <v>0</v>
      </c>
      <c r="AK230" s="18">
        <f t="shared" si="174"/>
        <v>0</v>
      </c>
      <c r="AL230" s="18">
        <f t="shared" si="174"/>
        <v>0</v>
      </c>
      <c r="AM230" s="47">
        <f t="shared" si="174"/>
        <v>0</v>
      </c>
      <c r="AN230" s="18">
        <f t="shared" si="174"/>
        <v>0</v>
      </c>
      <c r="AO230" s="18">
        <f t="shared" si="174"/>
        <v>0</v>
      </c>
      <c r="AP230" s="18">
        <f t="shared" si="174"/>
        <v>0</v>
      </c>
      <c r="AQ230" s="18">
        <f t="shared" si="174"/>
        <v>0</v>
      </c>
      <c r="AR230" s="18">
        <f t="shared" si="174"/>
        <v>0</v>
      </c>
      <c r="AS230" s="18">
        <f t="shared" si="174"/>
        <v>0</v>
      </c>
      <c r="AT230" s="18">
        <f t="shared" si="174"/>
        <v>0</v>
      </c>
      <c r="AU230" s="18">
        <f t="shared" si="174"/>
        <v>0</v>
      </c>
      <c r="AV230" s="18">
        <f t="shared" si="174"/>
        <v>0</v>
      </c>
      <c r="AW230" s="18">
        <f t="shared" si="174"/>
        <v>0</v>
      </c>
      <c r="AX230" s="18">
        <f t="shared" si="174"/>
        <v>0</v>
      </c>
    </row>
    <row r="231" spans="1:50" ht="13.5" thickTop="1" x14ac:dyDescent="0.2">
      <c r="B231" s="48" t="s">
        <v>27</v>
      </c>
      <c r="F231"/>
      <c r="G231"/>
      <c r="H231"/>
      <c r="I231"/>
      <c r="J231"/>
      <c r="K231"/>
    </row>
    <row r="232" spans="1:50" x14ac:dyDescent="0.2">
      <c r="B232" s="48"/>
    </row>
    <row r="234" spans="1:50" ht="15.75" x14ac:dyDescent="0.25">
      <c r="A234" s="86"/>
      <c r="B234" s="86" t="s">
        <v>45</v>
      </c>
      <c r="C234" s="87"/>
      <c r="D234" s="52"/>
      <c r="E234" s="88"/>
      <c r="F234" s="52"/>
      <c r="G234" s="52"/>
      <c r="H234" s="52"/>
      <c r="I234" s="52"/>
      <c r="J234" s="52"/>
      <c r="K234" s="52"/>
    </row>
    <row r="235" spans="1:50" x14ac:dyDescent="0.2">
      <c r="A235" s="8">
        <v>10050</v>
      </c>
      <c r="B235" s="89" t="str">
        <f t="shared" ref="B235:B298" si="175">VLOOKUP($A235,$A$5:$K$132,2,FALSE)</f>
        <v>Albury</v>
      </c>
      <c r="C235" s="9" t="str">
        <f t="shared" ref="C235:C298" si="176">VLOOKUP($A235,$A$5:$K$133,3,FALSE)</f>
        <v>RAMJO Murray</v>
      </c>
      <c r="D235" s="51" t="str">
        <f t="shared" ref="D235:D298" si="177">VLOOKUP($A235,$A$5:$K$133,4,FALSE)</f>
        <v>N</v>
      </c>
      <c r="E235" s="10" t="str">
        <f t="shared" ref="E235:E298" si="178">VLOOKUP($A235,$A$5:$AX$132,5,FALSE)</f>
        <v>RMJO</v>
      </c>
      <c r="F235" s="10">
        <f t="shared" ref="F235:F298" si="179">VLOOKUP($A235,$A$5:$AX$132,6,FALSE)</f>
        <v>55055</v>
      </c>
      <c r="G235" s="10">
        <f t="shared" ref="G235:G298" si="180">VLOOKUP($A235,$A$5:$AX$132,7,FALSE)</f>
        <v>25318</v>
      </c>
      <c r="H235" s="10">
        <f t="shared" ref="H235:H298" si="181">VLOOKUP($A235,$A$5:$AX$132,8,FALSE)</f>
        <v>2.1745398530689628</v>
      </c>
      <c r="I235" s="10">
        <f t="shared" ref="I235:I298" si="182">VLOOKUP($A235,$A$5:$AX$132,9,FALSE)</f>
        <v>305.89999999999998</v>
      </c>
      <c r="J235" s="10">
        <f t="shared" ref="J235:J298" si="183">VLOOKUP($A235,$A$5:$AX$132,10,FALSE)</f>
        <v>180</v>
      </c>
      <c r="K235" s="10">
        <f t="shared" ref="K235:K298" si="184">VLOOKUP($A235,$A$5:$AX$132,11,FALSE)</f>
        <v>250</v>
      </c>
      <c r="L235" s="10" t="str">
        <f t="shared" ref="L235:L298" si="185">VLOOKUP($A235,$A$4:$AX$132,12,FALSE)</f>
        <v>Y</v>
      </c>
      <c r="M235" s="10">
        <f t="shared" ref="M235:M298" si="186">VLOOKUP($A235,$A$4:$AX$132,13,FALSE)</f>
        <v>24044</v>
      </c>
      <c r="N235" s="10">
        <f t="shared" ref="N235:N298" si="187">VLOOKUP($A235,$A$4:$AX$132,14,FALSE)</f>
        <v>25305</v>
      </c>
      <c r="O235" s="10">
        <f t="shared" ref="O235:O298" si="188">VLOOKUP($A235,$A$4:$AX$132,15,FALSE)</f>
        <v>0</v>
      </c>
      <c r="P235" s="10">
        <f t="shared" ref="P235:P298" si="189">VLOOKUP($A235,$A$4:$AX$132,16,FALSE)</f>
        <v>25318</v>
      </c>
      <c r="Q235" s="10">
        <f t="shared" ref="Q235:Q298" si="190">VLOOKUP($A235,$A$4:$AX$132,17,FALSE)</f>
        <v>0</v>
      </c>
      <c r="R235" s="10" t="str">
        <f t="shared" ref="R235:R298" si="191">VLOOKUP($A235,$A$4:$AX$132,18,FALSE)</f>
        <v>Yes</v>
      </c>
      <c r="S235" s="10" t="str">
        <f t="shared" ref="S235:S298" si="192">VLOOKUP($A235,$A$4:$AX$132,19,FALSE)</f>
        <v>Albury Waste Management Centre</v>
      </c>
      <c r="T235" s="10">
        <f t="shared" ref="T235:T298" si="193">VLOOKUP($A235,$A$4:$AX$132,20,FALSE)</f>
        <v>0</v>
      </c>
      <c r="U235" s="10">
        <f t="shared" ref="U235:U298" si="194">VLOOKUP($A235,$A$4:$AX$132,21,FALSE)</f>
        <v>0</v>
      </c>
      <c r="V235" s="10">
        <f t="shared" ref="V235:V298" si="195">VLOOKUP($A235,$A$4:$AX$132,22,FALSE)</f>
        <v>0</v>
      </c>
      <c r="W235" s="10">
        <f t="shared" ref="W235:W298" si="196">VLOOKUP($A235,$A$4:$AX$132,23,FALSE)</f>
        <v>0</v>
      </c>
      <c r="X235" s="10">
        <f t="shared" ref="X235:X298" si="197">VLOOKUP($A235,$A$4:$AX$132,24,FALSE)</f>
        <v>0</v>
      </c>
      <c r="Y235" s="10">
        <f t="shared" ref="Y235:Y298" si="198">VLOOKUP($A235,$A$4:$AX$132,25,FALSE)</f>
        <v>0</v>
      </c>
      <c r="Z235" s="10">
        <f t="shared" ref="Z235:Z298" si="199">VLOOKUP($A235,$A$4:$AX$132,26,FALSE)</f>
        <v>0</v>
      </c>
      <c r="AA235" s="10">
        <f t="shared" ref="AA235:AA298" si="200">VLOOKUP($A235,$A$4:$AX$132,27,FALSE)</f>
        <v>0</v>
      </c>
      <c r="AB235" s="10">
        <f t="shared" ref="AB235:AB298" si="201">VLOOKUP($A235,$A$4:$AX$132,28,FALSE)</f>
        <v>0</v>
      </c>
      <c r="AC235" s="10">
        <f t="shared" ref="AC235:AC298" si="202">VLOOKUP($A235,$A$4:$AX$132,29,FALSE)</f>
        <v>0</v>
      </c>
      <c r="AD235" s="10">
        <f t="shared" ref="AD235:AD298" si="203">VLOOKUP($A235,$A$4:$AX$132,30,FALSE)</f>
        <v>0</v>
      </c>
      <c r="AE235" s="10">
        <f t="shared" ref="AE235:AE298" si="204">VLOOKUP($A235,$A$4:$AX$132,31,FALSE)</f>
        <v>0</v>
      </c>
      <c r="AF235" s="10">
        <f t="shared" ref="AF235:AF298" si="205">VLOOKUP($A235,$A$4:$AX$132,32,FALSE)</f>
        <v>0</v>
      </c>
      <c r="AG235" s="10">
        <f t="shared" ref="AG235:AG298" si="206">VLOOKUP($A235,$A$4:$AX$132,33,FALSE)</f>
        <v>0</v>
      </c>
      <c r="AH235" s="10">
        <f t="shared" ref="AH235:AH298" si="207">VLOOKUP($A235,$A$4:$AX$132,34,FALSE)</f>
        <v>0</v>
      </c>
      <c r="AI235" s="10">
        <f t="shared" ref="AI235:AI298" si="208">VLOOKUP($A235,$A$4:$AX$132,35,FALSE)</f>
        <v>0</v>
      </c>
      <c r="AJ235" s="10">
        <f t="shared" ref="AJ235:AJ298" si="209">VLOOKUP($A235,$A$4:$AX$132,36,FALSE)</f>
        <v>0</v>
      </c>
      <c r="AK235" s="10">
        <f t="shared" ref="AK235:AK298" si="210">VLOOKUP($A235,$A$4:$AX$132,37,FALSE)</f>
        <v>0</v>
      </c>
      <c r="AL235" s="10">
        <f t="shared" ref="AL235:AL298" si="211">VLOOKUP($A235,$A$4:$AX$132,38,FALSE)</f>
        <v>0</v>
      </c>
      <c r="AM235" s="10">
        <f t="shared" ref="AM235:AM298" si="212">VLOOKUP($A235,$A$4:$AX$132,39,FALSE)</f>
        <v>0</v>
      </c>
      <c r="AN235" s="46">
        <f t="shared" ref="AN235:AN298" si="213">VLOOKUP($A235,$A$4:$AX$132,40,FALSE)</f>
        <v>0</v>
      </c>
      <c r="AO235" s="10">
        <f t="shared" ref="AO235:AO298" si="214">VLOOKUP($A235,$A$4:$AX$132,41,FALSE)</f>
        <v>0</v>
      </c>
      <c r="AP235" s="10">
        <f t="shared" ref="AP235:AP298" si="215">VLOOKUP($A235,$A$4:$AX$132,42,FALSE)</f>
        <v>0</v>
      </c>
      <c r="AQ235" s="10">
        <f t="shared" ref="AQ235:AQ298" si="216">VLOOKUP($A235,$A$4:$AX$132,43,FALSE)</f>
        <v>0</v>
      </c>
      <c r="AR235" s="10">
        <f t="shared" ref="AR235:AR298" si="217">VLOOKUP($A235,$A$4:$AX$132,44,FALSE)</f>
        <v>0</v>
      </c>
      <c r="AS235" s="10">
        <f t="shared" ref="AS235:AS298" si="218">VLOOKUP($A235,$A$4:$AX$132,45,FALSE)</f>
        <v>0</v>
      </c>
      <c r="AT235" s="10">
        <f t="shared" ref="AT235:AT298" si="219">VLOOKUP($A235,$A$4:$AX$132,46,FALSE)</f>
        <v>0</v>
      </c>
      <c r="AU235" s="10">
        <f t="shared" ref="AU235:AU298" si="220">VLOOKUP($A235,$A$4:$AX$132,47,FALSE)</f>
        <v>0</v>
      </c>
      <c r="AV235" s="10">
        <f t="shared" ref="AV235:AV298" si="221">VLOOKUP($A235,$A$4:$AX$132,48,FALSE)</f>
        <v>0</v>
      </c>
      <c r="AW235" s="10">
        <f t="shared" ref="AW235:AW298" si="222">VLOOKUP($A235,$A$4:$AX$132,49,FALSE)</f>
        <v>0</v>
      </c>
      <c r="AX235" s="10">
        <f t="shared" ref="AX235:AX298" si="223">VLOOKUP($A235,$A$4:$AX$132,50,FALSE)</f>
        <v>0</v>
      </c>
    </row>
    <row r="236" spans="1:50" x14ac:dyDescent="0.2">
      <c r="A236" s="8">
        <v>10130</v>
      </c>
      <c r="B236" s="89" t="str">
        <f t="shared" si="175"/>
        <v>Armidale Regional</v>
      </c>
      <c r="C236" s="9" t="str">
        <f t="shared" si="176"/>
        <v>NIRW</v>
      </c>
      <c r="D236" s="51" t="str">
        <f t="shared" si="177"/>
        <v>N</v>
      </c>
      <c r="E236" s="10" t="str">
        <f t="shared" si="178"/>
        <v>NEJO</v>
      </c>
      <c r="F236" s="10">
        <f t="shared" si="179"/>
        <v>29704</v>
      </c>
      <c r="G236" s="10">
        <f t="shared" si="180"/>
        <v>12888</v>
      </c>
      <c r="H236" s="10">
        <f t="shared" si="181"/>
        <v>2.3047796399751705</v>
      </c>
      <c r="I236" s="10">
        <f t="shared" si="182"/>
        <v>7809.4</v>
      </c>
      <c r="J236" s="10">
        <f t="shared" si="183"/>
        <v>3.8</v>
      </c>
      <c r="K236" s="10">
        <f t="shared" si="184"/>
        <v>400</v>
      </c>
      <c r="L236" s="10" t="str">
        <f t="shared" si="185"/>
        <v>Y</v>
      </c>
      <c r="M236" s="10">
        <f t="shared" si="186"/>
        <v>10736</v>
      </c>
      <c r="N236" s="10">
        <f t="shared" si="187"/>
        <v>10520</v>
      </c>
      <c r="O236" s="10">
        <f t="shared" si="188"/>
        <v>0</v>
      </c>
      <c r="P236" s="10">
        <f t="shared" si="189"/>
        <v>10680</v>
      </c>
      <c r="Q236" s="10">
        <f t="shared" si="190"/>
        <v>0</v>
      </c>
      <c r="R236" s="10" t="str">
        <f t="shared" si="191"/>
        <v>Yes</v>
      </c>
      <c r="S236" s="10" t="str">
        <f t="shared" si="192"/>
        <v>Armidale WTF, Long Swamp Road, Armidale</v>
      </c>
      <c r="T236" s="10" t="str">
        <f t="shared" si="193"/>
        <v>Guyra WTS, Everett Street, Guyra</v>
      </c>
      <c r="U236" s="10" t="str">
        <f t="shared" si="194"/>
        <v>Hillgrove WTS, Wood Street, Hillgrove</v>
      </c>
      <c r="V236" s="10" t="str">
        <f t="shared" si="195"/>
        <v>Wolloomombi WTS, Village Road, Wollomombi</v>
      </c>
      <c r="W236" s="10" t="str">
        <f t="shared" si="196"/>
        <v>Ebor WTS, 8478LI Waterfall Way</v>
      </c>
      <c r="X236" s="10" t="str">
        <f t="shared" si="197"/>
        <v>Lower Creek WTS, 8493 Kempsey Road</v>
      </c>
      <c r="Y236" s="10" t="str">
        <f t="shared" si="198"/>
        <v>Ben Lomond WTS, 1536LI Wandsworth Road</v>
      </c>
      <c r="Z236" s="10">
        <f t="shared" si="199"/>
        <v>0</v>
      </c>
      <c r="AA236" s="10">
        <f t="shared" si="200"/>
        <v>0</v>
      </c>
      <c r="AB236" s="10">
        <f t="shared" si="201"/>
        <v>0</v>
      </c>
      <c r="AC236" s="10">
        <f t="shared" si="202"/>
        <v>0</v>
      </c>
      <c r="AD236" s="10">
        <f t="shared" si="203"/>
        <v>0</v>
      </c>
      <c r="AE236" s="10">
        <f t="shared" si="204"/>
        <v>0</v>
      </c>
      <c r="AF236" s="10">
        <f t="shared" si="205"/>
        <v>0</v>
      </c>
      <c r="AG236" s="10">
        <f t="shared" si="206"/>
        <v>0</v>
      </c>
      <c r="AH236" s="10">
        <f t="shared" si="207"/>
        <v>0</v>
      </c>
      <c r="AI236" s="10">
        <f t="shared" si="208"/>
        <v>0</v>
      </c>
      <c r="AJ236" s="10">
        <f t="shared" si="209"/>
        <v>0</v>
      </c>
      <c r="AK236" s="10">
        <f t="shared" si="210"/>
        <v>0</v>
      </c>
      <c r="AL236" s="10">
        <f t="shared" si="211"/>
        <v>0</v>
      </c>
      <c r="AM236" s="10">
        <f t="shared" si="212"/>
        <v>0</v>
      </c>
      <c r="AN236" s="46">
        <f t="shared" si="213"/>
        <v>0</v>
      </c>
      <c r="AO236" s="10">
        <f t="shared" si="214"/>
        <v>0</v>
      </c>
      <c r="AP236" s="10">
        <f t="shared" si="215"/>
        <v>0</v>
      </c>
      <c r="AQ236" s="10">
        <f t="shared" si="216"/>
        <v>0</v>
      </c>
      <c r="AR236" s="10">
        <f t="shared" si="217"/>
        <v>0</v>
      </c>
      <c r="AS236" s="10">
        <f t="shared" si="218"/>
        <v>0</v>
      </c>
      <c r="AT236" s="10">
        <f t="shared" si="219"/>
        <v>0</v>
      </c>
      <c r="AU236" s="10">
        <f t="shared" si="220"/>
        <v>0</v>
      </c>
      <c r="AV236" s="10">
        <f t="shared" si="221"/>
        <v>0</v>
      </c>
      <c r="AW236" s="10">
        <f t="shared" si="222"/>
        <v>0</v>
      </c>
      <c r="AX236" s="10">
        <f t="shared" si="223"/>
        <v>0</v>
      </c>
    </row>
    <row r="237" spans="1:50" x14ac:dyDescent="0.2">
      <c r="A237" s="8">
        <v>10300</v>
      </c>
      <c r="B237" s="89" t="str">
        <f t="shared" si="175"/>
        <v>Balranald</v>
      </c>
      <c r="C237" s="9" t="str">
        <f t="shared" si="176"/>
        <v>RAMJO Murray</v>
      </c>
      <c r="D237" s="51" t="str">
        <f t="shared" si="177"/>
        <v>N</v>
      </c>
      <c r="E237" s="10" t="str">
        <f t="shared" si="178"/>
        <v>FSWJO</v>
      </c>
      <c r="F237" s="10">
        <f t="shared" si="179"/>
        <v>2306</v>
      </c>
      <c r="G237" s="10">
        <f t="shared" si="180"/>
        <v>1624</v>
      </c>
      <c r="H237" s="10">
        <f t="shared" si="181"/>
        <v>1.4199507389162562</v>
      </c>
      <c r="I237" s="10">
        <f t="shared" si="182"/>
        <v>21690.7</v>
      </c>
      <c r="J237" s="10">
        <f t="shared" si="183"/>
        <v>0.1</v>
      </c>
      <c r="K237" s="10">
        <f t="shared" si="184"/>
        <v>355</v>
      </c>
      <c r="L237" s="10" t="str">
        <f t="shared" si="185"/>
        <v>Y</v>
      </c>
      <c r="M237" s="10">
        <f t="shared" si="186"/>
        <v>721</v>
      </c>
      <c r="N237" s="10">
        <f t="shared" si="187"/>
        <v>0</v>
      </c>
      <c r="O237" s="10">
        <f t="shared" si="188"/>
        <v>0</v>
      </c>
      <c r="P237" s="10">
        <f t="shared" si="189"/>
        <v>0</v>
      </c>
      <c r="Q237" s="10">
        <f t="shared" si="190"/>
        <v>1624</v>
      </c>
      <c r="R237" s="10" t="str">
        <f t="shared" si="191"/>
        <v>No</v>
      </c>
      <c r="S237" s="10">
        <f t="shared" si="192"/>
        <v>0</v>
      </c>
      <c r="T237" s="10">
        <f t="shared" si="193"/>
        <v>0</v>
      </c>
      <c r="U237" s="10">
        <f t="shared" si="194"/>
        <v>0</v>
      </c>
      <c r="V237" s="10">
        <f t="shared" si="195"/>
        <v>0</v>
      </c>
      <c r="W237" s="10">
        <f t="shared" si="196"/>
        <v>0</v>
      </c>
      <c r="X237" s="10">
        <f t="shared" si="197"/>
        <v>0</v>
      </c>
      <c r="Y237" s="10">
        <f t="shared" si="198"/>
        <v>0</v>
      </c>
      <c r="Z237" s="10">
        <f t="shared" si="199"/>
        <v>0</v>
      </c>
      <c r="AA237" s="10">
        <f t="shared" si="200"/>
        <v>0</v>
      </c>
      <c r="AB237" s="10">
        <f t="shared" si="201"/>
        <v>0</v>
      </c>
      <c r="AC237" s="10">
        <f t="shared" si="202"/>
        <v>0</v>
      </c>
      <c r="AD237" s="10">
        <f t="shared" si="203"/>
        <v>0</v>
      </c>
      <c r="AE237" s="10">
        <f t="shared" si="204"/>
        <v>0</v>
      </c>
      <c r="AF237" s="10">
        <f t="shared" si="205"/>
        <v>0</v>
      </c>
      <c r="AG237" s="10">
        <f t="shared" si="206"/>
        <v>0</v>
      </c>
      <c r="AH237" s="10">
        <f t="shared" si="207"/>
        <v>0</v>
      </c>
      <c r="AI237" s="10">
        <f t="shared" si="208"/>
        <v>0</v>
      </c>
      <c r="AJ237" s="10">
        <f t="shared" si="209"/>
        <v>0</v>
      </c>
      <c r="AK237" s="10">
        <f t="shared" si="210"/>
        <v>0</v>
      </c>
      <c r="AL237" s="10">
        <f t="shared" si="211"/>
        <v>0</v>
      </c>
      <c r="AM237" s="10">
        <f t="shared" si="212"/>
        <v>0</v>
      </c>
      <c r="AN237" s="46">
        <f t="shared" si="213"/>
        <v>0</v>
      </c>
      <c r="AO237" s="10">
        <f t="shared" si="214"/>
        <v>0</v>
      </c>
      <c r="AP237" s="10">
        <f t="shared" si="215"/>
        <v>0</v>
      </c>
      <c r="AQ237" s="10">
        <f t="shared" si="216"/>
        <v>0</v>
      </c>
      <c r="AR237" s="10">
        <f t="shared" si="217"/>
        <v>0</v>
      </c>
      <c r="AS237" s="10">
        <f t="shared" si="218"/>
        <v>0</v>
      </c>
      <c r="AT237" s="10">
        <f t="shared" si="219"/>
        <v>0</v>
      </c>
      <c r="AU237" s="10">
        <f t="shared" si="220"/>
        <v>0</v>
      </c>
      <c r="AV237" s="10">
        <f t="shared" si="221"/>
        <v>0</v>
      </c>
      <c r="AW237" s="10">
        <f t="shared" si="222"/>
        <v>0</v>
      </c>
      <c r="AX237" s="10">
        <f t="shared" si="223"/>
        <v>0</v>
      </c>
    </row>
    <row r="238" spans="1:50" x14ac:dyDescent="0.2">
      <c r="A238" s="8">
        <v>10470</v>
      </c>
      <c r="B238" s="89" t="str">
        <f t="shared" si="175"/>
        <v>Bathurst Regional</v>
      </c>
      <c r="C238" s="9" t="str">
        <f t="shared" si="176"/>
        <v>NetWaste</v>
      </c>
      <c r="D238" s="51" t="str">
        <f t="shared" si="177"/>
        <v>N</v>
      </c>
      <c r="E238" s="10" t="str">
        <f t="shared" si="178"/>
        <v>CNJO</v>
      </c>
      <c r="F238" s="10">
        <f t="shared" si="179"/>
        <v>43996</v>
      </c>
      <c r="G238" s="10">
        <f t="shared" si="180"/>
        <v>20082</v>
      </c>
      <c r="H238" s="10">
        <f t="shared" si="181"/>
        <v>2.190817647644657</v>
      </c>
      <c r="I238" s="10">
        <f t="shared" si="182"/>
        <v>3817.9</v>
      </c>
      <c r="J238" s="10">
        <f t="shared" si="183"/>
        <v>11.5</v>
      </c>
      <c r="K238" s="10">
        <f t="shared" si="184"/>
        <v>432</v>
      </c>
      <c r="L238" s="10" t="str">
        <f t="shared" si="185"/>
        <v>Y</v>
      </c>
      <c r="M238" s="10">
        <f t="shared" si="186"/>
        <v>15653</v>
      </c>
      <c r="N238" s="10">
        <f t="shared" si="187"/>
        <v>15608</v>
      </c>
      <c r="O238" s="10">
        <f t="shared" si="188"/>
        <v>0</v>
      </c>
      <c r="P238" s="10">
        <f t="shared" si="189"/>
        <v>14213</v>
      </c>
      <c r="Q238" s="10">
        <f t="shared" si="190"/>
        <v>0</v>
      </c>
      <c r="R238" s="10" t="str">
        <f t="shared" si="191"/>
        <v>Yes</v>
      </c>
      <c r="S238" s="10" t="str">
        <f t="shared" si="192"/>
        <v>Bathurst Landfill</v>
      </c>
      <c r="T238" s="10" t="str">
        <f t="shared" si="193"/>
        <v xml:space="preserve">Hillend Landfill </v>
      </c>
      <c r="U238" s="10" t="str">
        <f t="shared" si="194"/>
        <v>Rockly Transfer Station</v>
      </c>
      <c r="V238" s="10" t="str">
        <f t="shared" si="195"/>
        <v>Sofala Transfer Station</v>
      </c>
      <c r="W238" s="10" t="str">
        <f t="shared" si="196"/>
        <v>Sunny Corner Transfer Station</v>
      </c>
      <c r="X238" s="10" t="str">
        <f t="shared" si="197"/>
        <v xml:space="preserve">Trunkey Creek Transfer Station </v>
      </c>
      <c r="Y238" s="10">
        <f t="shared" si="198"/>
        <v>0</v>
      </c>
      <c r="Z238" s="10">
        <f t="shared" si="199"/>
        <v>0</v>
      </c>
      <c r="AA238" s="10">
        <f t="shared" si="200"/>
        <v>0</v>
      </c>
      <c r="AB238" s="10">
        <f t="shared" si="201"/>
        <v>0</v>
      </c>
      <c r="AC238" s="10">
        <f t="shared" si="202"/>
        <v>0</v>
      </c>
      <c r="AD238" s="10">
        <f t="shared" si="203"/>
        <v>0</v>
      </c>
      <c r="AE238" s="10">
        <f t="shared" si="204"/>
        <v>0</v>
      </c>
      <c r="AF238" s="10">
        <f t="shared" si="205"/>
        <v>0</v>
      </c>
      <c r="AG238" s="10">
        <f t="shared" si="206"/>
        <v>0</v>
      </c>
      <c r="AH238" s="10">
        <f t="shared" si="207"/>
        <v>0</v>
      </c>
      <c r="AI238" s="10">
        <f t="shared" si="208"/>
        <v>0</v>
      </c>
      <c r="AJ238" s="10">
        <f t="shared" si="209"/>
        <v>0</v>
      </c>
      <c r="AK238" s="10">
        <f t="shared" si="210"/>
        <v>0</v>
      </c>
      <c r="AL238" s="10">
        <f t="shared" si="211"/>
        <v>0</v>
      </c>
      <c r="AM238" s="10">
        <f t="shared" si="212"/>
        <v>0</v>
      </c>
      <c r="AN238" s="46">
        <f t="shared" si="213"/>
        <v>0</v>
      </c>
      <c r="AO238" s="10">
        <f t="shared" si="214"/>
        <v>0</v>
      </c>
      <c r="AP238" s="10">
        <f t="shared" si="215"/>
        <v>0</v>
      </c>
      <c r="AQ238" s="10">
        <f t="shared" si="216"/>
        <v>0</v>
      </c>
      <c r="AR238" s="10">
        <f t="shared" si="217"/>
        <v>0</v>
      </c>
      <c r="AS238" s="10">
        <f t="shared" si="218"/>
        <v>0</v>
      </c>
      <c r="AT238" s="10">
        <f t="shared" si="219"/>
        <v>0</v>
      </c>
      <c r="AU238" s="10">
        <f t="shared" si="220"/>
        <v>0</v>
      </c>
      <c r="AV238" s="10">
        <f t="shared" si="221"/>
        <v>0</v>
      </c>
      <c r="AW238" s="10">
        <f t="shared" si="222"/>
        <v>0</v>
      </c>
      <c r="AX238" s="10">
        <f t="shared" si="223"/>
        <v>0</v>
      </c>
    </row>
    <row r="239" spans="1:50" x14ac:dyDescent="0.2">
      <c r="A239" s="8">
        <v>10550</v>
      </c>
      <c r="B239" s="89" t="str">
        <f t="shared" si="175"/>
        <v>Bega Valley</v>
      </c>
      <c r="C239" s="9" t="str">
        <f t="shared" si="176"/>
        <v>CRJO</v>
      </c>
      <c r="D239" s="51" t="str">
        <f t="shared" si="177"/>
        <v>N</v>
      </c>
      <c r="E239" s="10" t="str">
        <f t="shared" si="178"/>
        <v>CRJO</v>
      </c>
      <c r="F239" s="10">
        <f t="shared" si="179"/>
        <v>34727</v>
      </c>
      <c r="G239" s="10">
        <f t="shared" si="180"/>
        <v>17575</v>
      </c>
      <c r="H239" s="10">
        <f t="shared" si="181"/>
        <v>1.975931721194879</v>
      </c>
      <c r="I239" s="10">
        <f t="shared" si="182"/>
        <v>6278.9</v>
      </c>
      <c r="J239" s="10">
        <f t="shared" si="183"/>
        <v>5.5</v>
      </c>
      <c r="K239" s="10">
        <f t="shared" si="184"/>
        <v>613</v>
      </c>
      <c r="L239" s="10" t="str">
        <f t="shared" si="185"/>
        <v>Y</v>
      </c>
      <c r="M239" s="10">
        <f t="shared" si="186"/>
        <v>12146</v>
      </c>
      <c r="N239" s="10">
        <f t="shared" si="187"/>
        <v>12941</v>
      </c>
      <c r="O239" s="10">
        <f t="shared" si="188"/>
        <v>0</v>
      </c>
      <c r="P239" s="10">
        <f t="shared" si="189"/>
        <v>9112</v>
      </c>
      <c r="Q239" s="10">
        <f t="shared" si="190"/>
        <v>0</v>
      </c>
      <c r="R239" s="10" t="str">
        <f t="shared" si="191"/>
        <v>Yes</v>
      </c>
      <c r="S239" s="10" t="str">
        <f t="shared" si="192"/>
        <v>Bemboka Waste Depot</v>
      </c>
      <c r="T239" s="10" t="str">
        <f t="shared" si="193"/>
        <v>Bermagui Waste &amp; Recycling Depot</v>
      </c>
      <c r="U239" s="10" t="str">
        <f t="shared" si="194"/>
        <v>Candelo Waste Depot</v>
      </c>
      <c r="V239" s="10" t="str">
        <f t="shared" si="195"/>
        <v>Eden Waste &amp; Recycling Depot</v>
      </c>
      <c r="W239" s="10" t="str">
        <f t="shared" si="196"/>
        <v>Merimbula Waste &amp; Recycling Depot</v>
      </c>
      <c r="X239" s="10" t="str">
        <f t="shared" si="197"/>
        <v>Wallagoot Waste Depot</v>
      </c>
      <c r="Y239" s="10">
        <f t="shared" si="198"/>
        <v>0</v>
      </c>
      <c r="Z239" s="10">
        <f t="shared" si="199"/>
        <v>0</v>
      </c>
      <c r="AA239" s="10">
        <f t="shared" si="200"/>
        <v>0</v>
      </c>
      <c r="AB239" s="10">
        <f t="shared" si="201"/>
        <v>0</v>
      </c>
      <c r="AC239" s="10">
        <f t="shared" si="202"/>
        <v>0</v>
      </c>
      <c r="AD239" s="10">
        <f t="shared" si="203"/>
        <v>0</v>
      </c>
      <c r="AE239" s="10">
        <f t="shared" si="204"/>
        <v>0</v>
      </c>
      <c r="AF239" s="10">
        <f t="shared" si="205"/>
        <v>0</v>
      </c>
      <c r="AG239" s="10">
        <f t="shared" si="206"/>
        <v>0</v>
      </c>
      <c r="AH239" s="10">
        <f t="shared" si="207"/>
        <v>0</v>
      </c>
      <c r="AI239" s="10">
        <f t="shared" si="208"/>
        <v>0</v>
      </c>
      <c r="AJ239" s="10">
        <f t="shared" si="209"/>
        <v>0</v>
      </c>
      <c r="AK239" s="10">
        <f t="shared" si="210"/>
        <v>0</v>
      </c>
      <c r="AL239" s="10">
        <f t="shared" si="211"/>
        <v>0</v>
      </c>
      <c r="AM239" s="10">
        <f t="shared" si="212"/>
        <v>0</v>
      </c>
      <c r="AN239" s="46">
        <f t="shared" si="213"/>
        <v>0</v>
      </c>
      <c r="AO239" s="10">
        <f t="shared" si="214"/>
        <v>0</v>
      </c>
      <c r="AP239" s="10">
        <f t="shared" si="215"/>
        <v>0</v>
      </c>
      <c r="AQ239" s="10">
        <f t="shared" si="216"/>
        <v>0</v>
      </c>
      <c r="AR239" s="10">
        <f t="shared" si="217"/>
        <v>0</v>
      </c>
      <c r="AS239" s="10">
        <f t="shared" si="218"/>
        <v>0</v>
      </c>
      <c r="AT239" s="10">
        <f t="shared" si="219"/>
        <v>0</v>
      </c>
      <c r="AU239" s="10">
        <f t="shared" si="220"/>
        <v>0</v>
      </c>
      <c r="AV239" s="10">
        <f t="shared" si="221"/>
        <v>0</v>
      </c>
      <c r="AW239" s="10">
        <f t="shared" si="222"/>
        <v>0</v>
      </c>
      <c r="AX239" s="10">
        <f t="shared" si="223"/>
        <v>0</v>
      </c>
    </row>
    <row r="240" spans="1:50" x14ac:dyDescent="0.2">
      <c r="A240" s="8">
        <v>10650</v>
      </c>
      <c r="B240" s="89" t="str">
        <f t="shared" si="175"/>
        <v>Berrigan</v>
      </c>
      <c r="C240" s="9" t="str">
        <f t="shared" si="176"/>
        <v>RAMJO Murray</v>
      </c>
      <c r="D240" s="51" t="str">
        <f t="shared" si="177"/>
        <v>N</v>
      </c>
      <c r="E240" s="10" t="str">
        <f t="shared" si="178"/>
        <v>RMJO</v>
      </c>
      <c r="F240" s="10">
        <f t="shared" si="179"/>
        <v>8784</v>
      </c>
      <c r="G240" s="10">
        <f t="shared" si="180"/>
        <v>5029</v>
      </c>
      <c r="H240" s="10">
        <f t="shared" si="181"/>
        <v>1.7466693179558561</v>
      </c>
      <c r="I240" s="10">
        <f t="shared" si="182"/>
        <v>2065.8000000000002</v>
      </c>
      <c r="J240" s="10">
        <f t="shared" si="183"/>
        <v>4.3</v>
      </c>
      <c r="K240" s="10">
        <f t="shared" si="184"/>
        <v>322</v>
      </c>
      <c r="L240" s="10" t="str">
        <f t="shared" si="185"/>
        <v>Y</v>
      </c>
      <c r="M240" s="10">
        <f t="shared" si="186"/>
        <v>4179</v>
      </c>
      <c r="N240" s="10">
        <f t="shared" si="187"/>
        <v>3630</v>
      </c>
      <c r="O240" s="10">
        <f t="shared" si="188"/>
        <v>0</v>
      </c>
      <c r="P240" s="10">
        <f t="shared" si="189"/>
        <v>0</v>
      </c>
      <c r="Q240" s="10">
        <f t="shared" si="190"/>
        <v>0</v>
      </c>
      <c r="R240" s="10" t="str">
        <f t="shared" si="191"/>
        <v>Yes</v>
      </c>
      <c r="S240" s="10" t="str">
        <f t="shared" si="192"/>
        <v>Berrigan Landfill</v>
      </c>
      <c r="T240" s="10" t="str">
        <f t="shared" si="193"/>
        <v>Tocumwal Transfer Station</v>
      </c>
      <c r="U240" s="10">
        <f t="shared" si="194"/>
        <v>0</v>
      </c>
      <c r="V240" s="10">
        <f t="shared" si="195"/>
        <v>0</v>
      </c>
      <c r="W240" s="10">
        <f t="shared" si="196"/>
        <v>0</v>
      </c>
      <c r="X240" s="10">
        <f t="shared" si="197"/>
        <v>0</v>
      </c>
      <c r="Y240" s="10">
        <f t="shared" si="198"/>
        <v>0</v>
      </c>
      <c r="Z240" s="10">
        <f t="shared" si="199"/>
        <v>0</v>
      </c>
      <c r="AA240" s="10">
        <f t="shared" si="200"/>
        <v>0</v>
      </c>
      <c r="AB240" s="10">
        <f t="shared" si="201"/>
        <v>0</v>
      </c>
      <c r="AC240" s="10">
        <f t="shared" si="202"/>
        <v>0</v>
      </c>
      <c r="AD240" s="10">
        <f t="shared" si="203"/>
        <v>0</v>
      </c>
      <c r="AE240" s="10">
        <f t="shared" si="204"/>
        <v>0</v>
      </c>
      <c r="AF240" s="10">
        <f t="shared" si="205"/>
        <v>0</v>
      </c>
      <c r="AG240" s="10">
        <f t="shared" si="206"/>
        <v>0</v>
      </c>
      <c r="AH240" s="10">
        <f t="shared" si="207"/>
        <v>0</v>
      </c>
      <c r="AI240" s="10">
        <f t="shared" si="208"/>
        <v>0</v>
      </c>
      <c r="AJ240" s="10">
        <f t="shared" si="209"/>
        <v>0</v>
      </c>
      <c r="AK240" s="10">
        <f t="shared" si="210"/>
        <v>0</v>
      </c>
      <c r="AL240" s="10">
        <f t="shared" si="211"/>
        <v>0</v>
      </c>
      <c r="AM240" s="10">
        <f t="shared" si="212"/>
        <v>0</v>
      </c>
      <c r="AN240" s="46">
        <f t="shared" si="213"/>
        <v>0</v>
      </c>
      <c r="AO240" s="10">
        <f t="shared" si="214"/>
        <v>0</v>
      </c>
      <c r="AP240" s="10">
        <f t="shared" si="215"/>
        <v>0</v>
      </c>
      <c r="AQ240" s="10">
        <f t="shared" si="216"/>
        <v>0</v>
      </c>
      <c r="AR240" s="10">
        <f t="shared" si="217"/>
        <v>0</v>
      </c>
      <c r="AS240" s="10">
        <f t="shared" si="218"/>
        <v>0</v>
      </c>
      <c r="AT240" s="10">
        <f t="shared" si="219"/>
        <v>0</v>
      </c>
      <c r="AU240" s="10">
        <f t="shared" si="220"/>
        <v>0</v>
      </c>
      <c r="AV240" s="10">
        <f t="shared" si="221"/>
        <v>0</v>
      </c>
      <c r="AW240" s="10">
        <f t="shared" si="222"/>
        <v>0</v>
      </c>
      <c r="AX240" s="10">
        <f t="shared" si="223"/>
        <v>0</v>
      </c>
    </row>
    <row r="241" spans="1:50" x14ac:dyDescent="0.2">
      <c r="A241" s="8">
        <v>10800</v>
      </c>
      <c r="B241" s="89" t="str">
        <f t="shared" si="175"/>
        <v>Bland</v>
      </c>
      <c r="C241" s="9" t="str">
        <f t="shared" si="176"/>
        <v>REROC</v>
      </c>
      <c r="D241" s="51" t="str">
        <f t="shared" si="177"/>
        <v>N</v>
      </c>
      <c r="E241" s="10" t="str">
        <f t="shared" si="178"/>
        <v>RJO</v>
      </c>
      <c r="F241" s="10">
        <f t="shared" si="179"/>
        <v>5937</v>
      </c>
      <c r="G241" s="10">
        <f t="shared" si="180"/>
        <v>4515</v>
      </c>
      <c r="H241" s="10">
        <f t="shared" si="181"/>
        <v>1.3149501661129568</v>
      </c>
      <c r="I241" s="10">
        <f t="shared" si="182"/>
        <v>8557.7000000000007</v>
      </c>
      <c r="J241" s="10">
        <f t="shared" si="183"/>
        <v>0.7</v>
      </c>
      <c r="K241" s="10">
        <f t="shared" si="184"/>
        <v>450</v>
      </c>
      <c r="L241" s="10" t="str">
        <f t="shared" si="185"/>
        <v>Y</v>
      </c>
      <c r="M241" s="10">
        <f t="shared" si="186"/>
        <v>1889</v>
      </c>
      <c r="N241" s="10">
        <f t="shared" si="187"/>
        <v>0</v>
      </c>
      <c r="O241" s="10">
        <f t="shared" si="188"/>
        <v>0</v>
      </c>
      <c r="P241" s="10">
        <f t="shared" si="189"/>
        <v>0</v>
      </c>
      <c r="Q241" s="10">
        <f t="shared" si="190"/>
        <v>0</v>
      </c>
      <c r="R241" s="10" t="str">
        <f t="shared" si="191"/>
        <v>Yes</v>
      </c>
      <c r="S241" s="10" t="str">
        <f t="shared" si="192"/>
        <v>West Wyalong Landfill, Racecourse Road, West Wyalong, NSW 2671</v>
      </c>
      <c r="T241" s="10">
        <f t="shared" si="193"/>
        <v>0</v>
      </c>
      <c r="U241" s="10">
        <f t="shared" si="194"/>
        <v>0</v>
      </c>
      <c r="V241" s="10">
        <f t="shared" si="195"/>
        <v>0</v>
      </c>
      <c r="W241" s="10">
        <f t="shared" si="196"/>
        <v>0</v>
      </c>
      <c r="X241" s="10">
        <f t="shared" si="197"/>
        <v>0</v>
      </c>
      <c r="Y241" s="10">
        <f t="shared" si="198"/>
        <v>0</v>
      </c>
      <c r="Z241" s="10">
        <f t="shared" si="199"/>
        <v>0</v>
      </c>
      <c r="AA241" s="10">
        <f t="shared" si="200"/>
        <v>0</v>
      </c>
      <c r="AB241" s="10">
        <f t="shared" si="201"/>
        <v>0</v>
      </c>
      <c r="AC241" s="10">
        <f t="shared" si="202"/>
        <v>0</v>
      </c>
      <c r="AD241" s="10">
        <f t="shared" si="203"/>
        <v>0</v>
      </c>
      <c r="AE241" s="10">
        <f t="shared" si="204"/>
        <v>0</v>
      </c>
      <c r="AF241" s="10">
        <f t="shared" si="205"/>
        <v>0</v>
      </c>
      <c r="AG241" s="10">
        <f t="shared" si="206"/>
        <v>0</v>
      </c>
      <c r="AH241" s="10">
        <f t="shared" si="207"/>
        <v>0</v>
      </c>
      <c r="AI241" s="10">
        <f t="shared" si="208"/>
        <v>0</v>
      </c>
      <c r="AJ241" s="10">
        <f t="shared" si="209"/>
        <v>0</v>
      </c>
      <c r="AK241" s="10">
        <f t="shared" si="210"/>
        <v>0</v>
      </c>
      <c r="AL241" s="10">
        <f t="shared" si="211"/>
        <v>0</v>
      </c>
      <c r="AM241" s="10">
        <f t="shared" si="212"/>
        <v>0</v>
      </c>
      <c r="AN241" s="46">
        <f t="shared" si="213"/>
        <v>0</v>
      </c>
      <c r="AO241" s="10">
        <f t="shared" si="214"/>
        <v>0</v>
      </c>
      <c r="AP241" s="10">
        <f t="shared" si="215"/>
        <v>0</v>
      </c>
      <c r="AQ241" s="10">
        <f t="shared" si="216"/>
        <v>0</v>
      </c>
      <c r="AR241" s="10">
        <f t="shared" si="217"/>
        <v>0</v>
      </c>
      <c r="AS241" s="10">
        <f t="shared" si="218"/>
        <v>0</v>
      </c>
      <c r="AT241" s="10">
        <f t="shared" si="219"/>
        <v>0</v>
      </c>
      <c r="AU241" s="10">
        <f t="shared" si="220"/>
        <v>0</v>
      </c>
      <c r="AV241" s="10">
        <f t="shared" si="221"/>
        <v>0</v>
      </c>
      <c r="AW241" s="10">
        <f t="shared" si="222"/>
        <v>0</v>
      </c>
      <c r="AX241" s="10">
        <f t="shared" si="223"/>
        <v>0</v>
      </c>
    </row>
    <row r="242" spans="1:50" x14ac:dyDescent="0.2">
      <c r="A242" s="8">
        <v>10850</v>
      </c>
      <c r="B242" s="89" t="str">
        <f t="shared" si="175"/>
        <v>Blayney</v>
      </c>
      <c r="C242" s="9" t="str">
        <f t="shared" si="176"/>
        <v>NetWaste</v>
      </c>
      <c r="D242" s="51" t="str">
        <f t="shared" si="177"/>
        <v>N</v>
      </c>
      <c r="E242" s="10" t="str">
        <f t="shared" si="178"/>
        <v>CNJO</v>
      </c>
      <c r="F242" s="10">
        <f t="shared" si="179"/>
        <v>7382</v>
      </c>
      <c r="G242" s="10">
        <f t="shared" si="180"/>
        <v>4157</v>
      </c>
      <c r="H242" s="10">
        <f t="shared" si="181"/>
        <v>1.7757998556651431</v>
      </c>
      <c r="I242" s="10">
        <f t="shared" si="182"/>
        <v>1524.6</v>
      </c>
      <c r="J242" s="10">
        <f t="shared" si="183"/>
        <v>4.8</v>
      </c>
      <c r="K242" s="10">
        <f t="shared" si="184"/>
        <v>340</v>
      </c>
      <c r="L242" s="10" t="str">
        <f t="shared" si="185"/>
        <v>Y</v>
      </c>
      <c r="M242" s="10">
        <f t="shared" si="186"/>
        <v>2699</v>
      </c>
      <c r="N242" s="10">
        <f t="shared" si="187"/>
        <v>2699</v>
      </c>
      <c r="O242" s="10">
        <f t="shared" si="188"/>
        <v>0</v>
      </c>
      <c r="P242" s="10">
        <f t="shared" si="189"/>
        <v>0</v>
      </c>
      <c r="Q242" s="10">
        <f t="shared" si="190"/>
        <v>4157</v>
      </c>
      <c r="R242" s="10" t="str">
        <f t="shared" si="191"/>
        <v>Yes</v>
      </c>
      <c r="S242" s="10" t="str">
        <f t="shared" si="192"/>
        <v>Blayney Waste Facility</v>
      </c>
      <c r="T242" s="10">
        <f t="shared" si="193"/>
        <v>0</v>
      </c>
      <c r="U242" s="10">
        <f t="shared" si="194"/>
        <v>0</v>
      </c>
      <c r="V242" s="10">
        <f t="shared" si="195"/>
        <v>0</v>
      </c>
      <c r="W242" s="10">
        <f t="shared" si="196"/>
        <v>0</v>
      </c>
      <c r="X242" s="10">
        <f t="shared" si="197"/>
        <v>0</v>
      </c>
      <c r="Y242" s="10">
        <f t="shared" si="198"/>
        <v>0</v>
      </c>
      <c r="Z242" s="10">
        <f t="shared" si="199"/>
        <v>0</v>
      </c>
      <c r="AA242" s="10">
        <f t="shared" si="200"/>
        <v>0</v>
      </c>
      <c r="AB242" s="10">
        <f t="shared" si="201"/>
        <v>0</v>
      </c>
      <c r="AC242" s="10">
        <f t="shared" si="202"/>
        <v>0</v>
      </c>
      <c r="AD242" s="10">
        <f t="shared" si="203"/>
        <v>0</v>
      </c>
      <c r="AE242" s="10">
        <f t="shared" si="204"/>
        <v>0</v>
      </c>
      <c r="AF242" s="10">
        <f t="shared" si="205"/>
        <v>0</v>
      </c>
      <c r="AG242" s="10">
        <f t="shared" si="206"/>
        <v>0</v>
      </c>
      <c r="AH242" s="10">
        <f t="shared" si="207"/>
        <v>0</v>
      </c>
      <c r="AI242" s="10">
        <f t="shared" si="208"/>
        <v>0</v>
      </c>
      <c r="AJ242" s="10">
        <f t="shared" si="209"/>
        <v>0</v>
      </c>
      <c r="AK242" s="10">
        <f t="shared" si="210"/>
        <v>0</v>
      </c>
      <c r="AL242" s="10">
        <f t="shared" si="211"/>
        <v>0</v>
      </c>
      <c r="AM242" s="10">
        <f t="shared" si="212"/>
        <v>0</v>
      </c>
      <c r="AN242" s="46">
        <f t="shared" si="213"/>
        <v>0</v>
      </c>
      <c r="AO242" s="10">
        <f t="shared" si="214"/>
        <v>0</v>
      </c>
      <c r="AP242" s="10">
        <f t="shared" si="215"/>
        <v>0</v>
      </c>
      <c r="AQ242" s="10">
        <f t="shared" si="216"/>
        <v>0</v>
      </c>
      <c r="AR242" s="10">
        <f t="shared" si="217"/>
        <v>0</v>
      </c>
      <c r="AS242" s="10">
        <f t="shared" si="218"/>
        <v>0</v>
      </c>
      <c r="AT242" s="10">
        <f t="shared" si="219"/>
        <v>0</v>
      </c>
      <c r="AU242" s="10">
        <f t="shared" si="220"/>
        <v>0</v>
      </c>
      <c r="AV242" s="10">
        <f t="shared" si="221"/>
        <v>0</v>
      </c>
      <c r="AW242" s="10">
        <f t="shared" si="222"/>
        <v>0</v>
      </c>
      <c r="AX242" s="10">
        <f t="shared" si="223"/>
        <v>0</v>
      </c>
    </row>
    <row r="243" spans="1:50" x14ac:dyDescent="0.2">
      <c r="A243" s="8">
        <v>10950</v>
      </c>
      <c r="B243" s="89" t="str">
        <f t="shared" si="175"/>
        <v>Bogan</v>
      </c>
      <c r="C243" s="9" t="str">
        <f t="shared" si="176"/>
        <v>NetWaste</v>
      </c>
      <c r="D243" s="51" t="str">
        <f t="shared" si="177"/>
        <v>N</v>
      </c>
      <c r="E243" s="10" t="str">
        <f t="shared" si="178"/>
        <v>OJO</v>
      </c>
      <c r="F243" s="10">
        <f t="shared" si="179"/>
        <v>2529</v>
      </c>
      <c r="G243" s="10">
        <f t="shared" si="180"/>
        <v>2116</v>
      </c>
      <c r="H243" s="10">
        <f t="shared" si="181"/>
        <v>1.1951795841209829</v>
      </c>
      <c r="I243" s="10">
        <f t="shared" si="182"/>
        <v>14599.9</v>
      </c>
      <c r="J243" s="10">
        <f t="shared" si="183"/>
        <v>0.2</v>
      </c>
      <c r="K243" s="10">
        <f t="shared" si="184"/>
        <v>501</v>
      </c>
      <c r="L243" s="10" t="str">
        <f t="shared" si="185"/>
        <v>Y</v>
      </c>
      <c r="M243" s="10">
        <f t="shared" si="186"/>
        <v>1040</v>
      </c>
      <c r="N243" s="10">
        <f t="shared" si="187"/>
        <v>1098</v>
      </c>
      <c r="O243" s="10">
        <f t="shared" si="188"/>
        <v>0</v>
      </c>
      <c r="P243" s="10">
        <f t="shared" si="189"/>
        <v>0</v>
      </c>
      <c r="Q243" s="10">
        <f t="shared" si="190"/>
        <v>0</v>
      </c>
      <c r="R243" s="10" t="str">
        <f t="shared" si="191"/>
        <v>Yes</v>
      </c>
      <c r="S243" s="10" t="str">
        <f t="shared" si="192"/>
        <v>Nyngan Waste and Resource Management Facility</v>
      </c>
      <c r="T243" s="10">
        <f t="shared" si="193"/>
        <v>0</v>
      </c>
      <c r="U243" s="10">
        <f t="shared" si="194"/>
        <v>0</v>
      </c>
      <c r="V243" s="10">
        <f t="shared" si="195"/>
        <v>0</v>
      </c>
      <c r="W243" s="10">
        <f t="shared" si="196"/>
        <v>0</v>
      </c>
      <c r="X243" s="10">
        <f t="shared" si="197"/>
        <v>0</v>
      </c>
      <c r="Y243" s="10">
        <f t="shared" si="198"/>
        <v>0</v>
      </c>
      <c r="Z243" s="10">
        <f t="shared" si="199"/>
        <v>0</v>
      </c>
      <c r="AA243" s="10">
        <f t="shared" si="200"/>
        <v>0</v>
      </c>
      <c r="AB243" s="10">
        <f t="shared" si="201"/>
        <v>0</v>
      </c>
      <c r="AC243" s="10">
        <f t="shared" si="202"/>
        <v>0</v>
      </c>
      <c r="AD243" s="10">
        <f t="shared" si="203"/>
        <v>0</v>
      </c>
      <c r="AE243" s="10">
        <f t="shared" si="204"/>
        <v>0</v>
      </c>
      <c r="AF243" s="10">
        <f t="shared" si="205"/>
        <v>0</v>
      </c>
      <c r="AG243" s="10">
        <f t="shared" si="206"/>
        <v>0</v>
      </c>
      <c r="AH243" s="10">
        <f t="shared" si="207"/>
        <v>0</v>
      </c>
      <c r="AI243" s="10">
        <f t="shared" si="208"/>
        <v>0</v>
      </c>
      <c r="AJ243" s="10">
        <f t="shared" si="209"/>
        <v>0</v>
      </c>
      <c r="AK243" s="10">
        <f t="shared" si="210"/>
        <v>0</v>
      </c>
      <c r="AL243" s="10">
        <f t="shared" si="211"/>
        <v>0</v>
      </c>
      <c r="AM243" s="10">
        <f t="shared" si="212"/>
        <v>0</v>
      </c>
      <c r="AN243" s="46">
        <f t="shared" si="213"/>
        <v>0</v>
      </c>
      <c r="AO243" s="10">
        <f t="shared" si="214"/>
        <v>0</v>
      </c>
      <c r="AP243" s="10">
        <f t="shared" si="215"/>
        <v>0</v>
      </c>
      <c r="AQ243" s="10">
        <f t="shared" si="216"/>
        <v>0</v>
      </c>
      <c r="AR243" s="10">
        <f t="shared" si="217"/>
        <v>0</v>
      </c>
      <c r="AS243" s="10">
        <f t="shared" si="218"/>
        <v>0</v>
      </c>
      <c r="AT243" s="10">
        <f t="shared" si="219"/>
        <v>0</v>
      </c>
      <c r="AU243" s="10">
        <f t="shared" si="220"/>
        <v>0</v>
      </c>
      <c r="AV243" s="10">
        <f t="shared" si="221"/>
        <v>0</v>
      </c>
      <c r="AW243" s="10">
        <f t="shared" si="222"/>
        <v>0</v>
      </c>
      <c r="AX243" s="10">
        <f t="shared" si="223"/>
        <v>0</v>
      </c>
    </row>
    <row r="244" spans="1:50" x14ac:dyDescent="0.2">
      <c r="A244" s="8">
        <v>11150</v>
      </c>
      <c r="B244" s="89" t="str">
        <f t="shared" si="175"/>
        <v>Bourke</v>
      </c>
      <c r="C244" s="9" t="str">
        <f t="shared" si="176"/>
        <v>NetWaste</v>
      </c>
      <c r="D244" s="51" t="str">
        <f t="shared" si="177"/>
        <v>N</v>
      </c>
      <c r="E244" s="10" t="str">
        <f t="shared" si="178"/>
        <v>FNWJO</v>
      </c>
      <c r="F244" s="10">
        <f t="shared" si="179"/>
        <v>2625</v>
      </c>
      <c r="G244" s="10">
        <f t="shared" si="180"/>
        <v>1039</v>
      </c>
      <c r="H244" s="10">
        <f t="shared" si="181"/>
        <v>2.5264677574590952</v>
      </c>
      <c r="I244" s="10">
        <f t="shared" si="182"/>
        <v>41599.5</v>
      </c>
      <c r="J244" s="10">
        <f t="shared" si="183"/>
        <v>0.1</v>
      </c>
      <c r="K244" s="10">
        <f t="shared" si="184"/>
        <v>285</v>
      </c>
      <c r="L244" s="10" t="str">
        <f t="shared" si="185"/>
        <v>Y</v>
      </c>
      <c r="M244" s="10">
        <f t="shared" si="186"/>
        <v>974</v>
      </c>
      <c r="N244" s="10">
        <f t="shared" si="187"/>
        <v>0</v>
      </c>
      <c r="O244" s="10">
        <f t="shared" si="188"/>
        <v>0</v>
      </c>
      <c r="P244" s="10">
        <f t="shared" si="189"/>
        <v>0</v>
      </c>
      <c r="Q244" s="10">
        <f t="shared" si="190"/>
        <v>0</v>
      </c>
      <c r="R244" s="10" t="str">
        <f t="shared" si="191"/>
        <v>Yes</v>
      </c>
      <c r="S244" s="10" t="str">
        <f t="shared" si="192"/>
        <v xml:space="preserve"> Bourke</v>
      </c>
      <c r="T244" s="10" t="str">
        <f t="shared" si="193"/>
        <v>Byrock</v>
      </c>
      <c r="U244" s="10" t="str">
        <f t="shared" si="194"/>
        <v>Enngonia</v>
      </c>
      <c r="V244" s="10" t="str">
        <f t="shared" si="195"/>
        <v>Fords Bridge</v>
      </c>
      <c r="W244" s="10" t="str">
        <f t="shared" si="196"/>
        <v>Louth Waste Depot</v>
      </c>
      <c r="X244" s="10" t="str">
        <f t="shared" si="197"/>
        <v>Wanaaring Waste Depot</v>
      </c>
      <c r="Y244" s="10">
        <f t="shared" si="198"/>
        <v>0</v>
      </c>
      <c r="Z244" s="10">
        <f t="shared" si="199"/>
        <v>0</v>
      </c>
      <c r="AA244" s="10">
        <f t="shared" si="200"/>
        <v>0</v>
      </c>
      <c r="AB244" s="10">
        <f t="shared" si="201"/>
        <v>0</v>
      </c>
      <c r="AC244" s="10">
        <f t="shared" si="202"/>
        <v>0</v>
      </c>
      <c r="AD244" s="10">
        <f t="shared" si="203"/>
        <v>0</v>
      </c>
      <c r="AE244" s="10">
        <f t="shared" si="204"/>
        <v>0</v>
      </c>
      <c r="AF244" s="10">
        <f t="shared" si="205"/>
        <v>0</v>
      </c>
      <c r="AG244" s="10">
        <f t="shared" si="206"/>
        <v>0</v>
      </c>
      <c r="AH244" s="10">
        <f t="shared" si="207"/>
        <v>0</v>
      </c>
      <c r="AI244" s="10">
        <f t="shared" si="208"/>
        <v>0</v>
      </c>
      <c r="AJ244" s="10">
        <f t="shared" si="209"/>
        <v>0</v>
      </c>
      <c r="AK244" s="10">
        <f t="shared" si="210"/>
        <v>0</v>
      </c>
      <c r="AL244" s="10">
        <f t="shared" si="211"/>
        <v>0</v>
      </c>
      <c r="AM244" s="10">
        <f t="shared" si="212"/>
        <v>0</v>
      </c>
      <c r="AN244" s="46">
        <f t="shared" si="213"/>
        <v>0</v>
      </c>
      <c r="AO244" s="10">
        <f t="shared" si="214"/>
        <v>0</v>
      </c>
      <c r="AP244" s="10">
        <f t="shared" si="215"/>
        <v>0</v>
      </c>
      <c r="AQ244" s="10">
        <f t="shared" si="216"/>
        <v>0</v>
      </c>
      <c r="AR244" s="10">
        <f t="shared" si="217"/>
        <v>0</v>
      </c>
      <c r="AS244" s="10">
        <f t="shared" si="218"/>
        <v>0</v>
      </c>
      <c r="AT244" s="10">
        <f t="shared" si="219"/>
        <v>0</v>
      </c>
      <c r="AU244" s="10">
        <f t="shared" si="220"/>
        <v>0</v>
      </c>
      <c r="AV244" s="10">
        <f t="shared" si="221"/>
        <v>0</v>
      </c>
      <c r="AW244" s="10">
        <f t="shared" si="222"/>
        <v>0</v>
      </c>
      <c r="AX244" s="10">
        <f t="shared" si="223"/>
        <v>0</v>
      </c>
    </row>
    <row r="245" spans="1:50" x14ac:dyDescent="0.2">
      <c r="A245" s="8">
        <v>11200</v>
      </c>
      <c r="B245" s="89" t="str">
        <f t="shared" si="175"/>
        <v>Brewarrina</v>
      </c>
      <c r="C245" s="9" t="str">
        <f t="shared" si="176"/>
        <v>NetWaste</v>
      </c>
      <c r="D245" s="51" t="str">
        <f t="shared" si="177"/>
        <v>N</v>
      </c>
      <c r="E245" s="10">
        <f t="shared" si="178"/>
        <v>0</v>
      </c>
      <c r="F245" s="10">
        <f t="shared" si="179"/>
        <v>1553</v>
      </c>
      <c r="G245" s="10">
        <f t="shared" si="180"/>
        <v>725</v>
      </c>
      <c r="H245" s="10">
        <f t="shared" si="181"/>
        <v>2.1420689655172414</v>
      </c>
      <c r="I245" s="10">
        <f t="shared" si="182"/>
        <v>19163.5</v>
      </c>
      <c r="J245" s="10">
        <f t="shared" si="183"/>
        <v>0.1</v>
      </c>
      <c r="K245" s="10">
        <f t="shared" si="184"/>
        <v>454</v>
      </c>
      <c r="L245" s="10" t="str">
        <f t="shared" si="185"/>
        <v>Y</v>
      </c>
      <c r="M245" s="10">
        <f t="shared" si="186"/>
        <v>665</v>
      </c>
      <c r="N245" s="10">
        <f t="shared" si="187"/>
        <v>0</v>
      </c>
      <c r="O245" s="10">
        <f t="shared" si="188"/>
        <v>0</v>
      </c>
      <c r="P245" s="10">
        <f t="shared" si="189"/>
        <v>0</v>
      </c>
      <c r="Q245" s="10">
        <f t="shared" si="190"/>
        <v>725</v>
      </c>
      <c r="R245" s="10" t="str">
        <f t="shared" si="191"/>
        <v>Yes</v>
      </c>
      <c r="S245" s="10" t="str">
        <f t="shared" si="192"/>
        <v>Brewarrina Waste Depot</v>
      </c>
      <c r="T245" s="10" t="str">
        <f t="shared" si="193"/>
        <v xml:space="preserve">Goodooga Waste Depot </v>
      </c>
      <c r="U245" s="10" t="str">
        <f t="shared" si="194"/>
        <v xml:space="preserve">Angledool </v>
      </c>
      <c r="V245" s="10" t="str">
        <f t="shared" si="195"/>
        <v>Weilmoringle</v>
      </c>
      <c r="W245" s="10">
        <f t="shared" si="196"/>
        <v>0</v>
      </c>
      <c r="X245" s="10">
        <f t="shared" si="197"/>
        <v>0</v>
      </c>
      <c r="Y245" s="10">
        <f t="shared" si="198"/>
        <v>0</v>
      </c>
      <c r="Z245" s="10">
        <f t="shared" si="199"/>
        <v>0</v>
      </c>
      <c r="AA245" s="10">
        <f t="shared" si="200"/>
        <v>0</v>
      </c>
      <c r="AB245" s="10">
        <f t="shared" si="201"/>
        <v>0</v>
      </c>
      <c r="AC245" s="10">
        <f t="shared" si="202"/>
        <v>0</v>
      </c>
      <c r="AD245" s="10">
        <f t="shared" si="203"/>
        <v>0</v>
      </c>
      <c r="AE245" s="10">
        <f t="shared" si="204"/>
        <v>0</v>
      </c>
      <c r="AF245" s="10">
        <f t="shared" si="205"/>
        <v>0</v>
      </c>
      <c r="AG245" s="10">
        <f t="shared" si="206"/>
        <v>0</v>
      </c>
      <c r="AH245" s="10">
        <f t="shared" si="207"/>
        <v>0</v>
      </c>
      <c r="AI245" s="10">
        <f t="shared" si="208"/>
        <v>0</v>
      </c>
      <c r="AJ245" s="10">
        <f t="shared" si="209"/>
        <v>0</v>
      </c>
      <c r="AK245" s="10">
        <f t="shared" si="210"/>
        <v>0</v>
      </c>
      <c r="AL245" s="10">
        <f t="shared" si="211"/>
        <v>0</v>
      </c>
      <c r="AM245" s="10">
        <f t="shared" si="212"/>
        <v>0</v>
      </c>
      <c r="AN245" s="46">
        <f t="shared" si="213"/>
        <v>0</v>
      </c>
      <c r="AO245" s="10">
        <f t="shared" si="214"/>
        <v>0</v>
      </c>
      <c r="AP245" s="10">
        <f t="shared" si="215"/>
        <v>0</v>
      </c>
      <c r="AQ245" s="10">
        <f t="shared" si="216"/>
        <v>0</v>
      </c>
      <c r="AR245" s="10">
        <f t="shared" si="217"/>
        <v>0</v>
      </c>
      <c r="AS245" s="10">
        <f t="shared" si="218"/>
        <v>0</v>
      </c>
      <c r="AT245" s="10">
        <f t="shared" si="219"/>
        <v>0</v>
      </c>
      <c r="AU245" s="10">
        <f t="shared" si="220"/>
        <v>0</v>
      </c>
      <c r="AV245" s="10">
        <f t="shared" si="221"/>
        <v>0</v>
      </c>
      <c r="AW245" s="10">
        <f t="shared" si="222"/>
        <v>0</v>
      </c>
      <c r="AX245" s="10">
        <f t="shared" si="223"/>
        <v>0</v>
      </c>
    </row>
    <row r="246" spans="1:50" x14ac:dyDescent="0.2">
      <c r="A246" s="8">
        <v>11250</v>
      </c>
      <c r="B246" s="89" t="str">
        <f t="shared" si="175"/>
        <v>Broken Hill</v>
      </c>
      <c r="C246" s="9" t="str">
        <f t="shared" si="176"/>
        <v>NetWaste</v>
      </c>
      <c r="D246" s="51" t="str">
        <f t="shared" si="177"/>
        <v>N</v>
      </c>
      <c r="E246" s="10" t="str">
        <f t="shared" si="178"/>
        <v>FSWJO</v>
      </c>
      <c r="F246" s="10">
        <f t="shared" si="179"/>
        <v>17269</v>
      </c>
      <c r="G246" s="10">
        <f t="shared" si="180"/>
        <v>10574</v>
      </c>
      <c r="H246" s="10">
        <f t="shared" si="181"/>
        <v>1.6331567996973708</v>
      </c>
      <c r="I246" s="10">
        <f t="shared" si="182"/>
        <v>170.1</v>
      </c>
      <c r="J246" s="10">
        <f t="shared" si="183"/>
        <v>101.5</v>
      </c>
      <c r="K246" s="10">
        <f t="shared" si="184"/>
        <v>51</v>
      </c>
      <c r="L246" s="10" t="str">
        <f t="shared" si="185"/>
        <v>Y</v>
      </c>
      <c r="M246" s="10">
        <f t="shared" si="186"/>
        <v>9175</v>
      </c>
      <c r="N246" s="10">
        <f t="shared" si="187"/>
        <v>0</v>
      </c>
      <c r="O246" s="10">
        <f t="shared" si="188"/>
        <v>0</v>
      </c>
      <c r="P246" s="10">
        <f t="shared" si="189"/>
        <v>9230</v>
      </c>
      <c r="Q246" s="10">
        <f t="shared" si="190"/>
        <v>0</v>
      </c>
      <c r="R246" s="10" t="str">
        <f t="shared" si="191"/>
        <v>Yes</v>
      </c>
      <c r="S246" s="10" t="str">
        <f t="shared" si="192"/>
        <v>Broken Hill Waste Management Facility, 1 Wills Street Broken Hill</v>
      </c>
      <c r="T246" s="10">
        <f t="shared" si="193"/>
        <v>0</v>
      </c>
      <c r="U246" s="10">
        <f t="shared" si="194"/>
        <v>0</v>
      </c>
      <c r="V246" s="10">
        <f t="shared" si="195"/>
        <v>0</v>
      </c>
      <c r="W246" s="10">
        <f t="shared" si="196"/>
        <v>0</v>
      </c>
      <c r="X246" s="10">
        <f t="shared" si="197"/>
        <v>0</v>
      </c>
      <c r="Y246" s="10">
        <f t="shared" si="198"/>
        <v>0</v>
      </c>
      <c r="Z246" s="10">
        <f t="shared" si="199"/>
        <v>0</v>
      </c>
      <c r="AA246" s="10">
        <f t="shared" si="200"/>
        <v>0</v>
      </c>
      <c r="AB246" s="10">
        <f t="shared" si="201"/>
        <v>0</v>
      </c>
      <c r="AC246" s="10">
        <f t="shared" si="202"/>
        <v>0</v>
      </c>
      <c r="AD246" s="10">
        <f t="shared" si="203"/>
        <v>0</v>
      </c>
      <c r="AE246" s="10">
        <f t="shared" si="204"/>
        <v>0</v>
      </c>
      <c r="AF246" s="10">
        <f t="shared" si="205"/>
        <v>0</v>
      </c>
      <c r="AG246" s="10">
        <f t="shared" si="206"/>
        <v>0</v>
      </c>
      <c r="AH246" s="10">
        <f t="shared" si="207"/>
        <v>0</v>
      </c>
      <c r="AI246" s="10">
        <f t="shared" si="208"/>
        <v>0</v>
      </c>
      <c r="AJ246" s="10">
        <f t="shared" si="209"/>
        <v>0</v>
      </c>
      <c r="AK246" s="10">
        <f t="shared" si="210"/>
        <v>0</v>
      </c>
      <c r="AL246" s="10">
        <f t="shared" si="211"/>
        <v>0</v>
      </c>
      <c r="AM246" s="10">
        <f t="shared" si="212"/>
        <v>0</v>
      </c>
      <c r="AN246" s="46">
        <f t="shared" si="213"/>
        <v>0</v>
      </c>
      <c r="AO246" s="10">
        <f t="shared" si="214"/>
        <v>0</v>
      </c>
      <c r="AP246" s="10">
        <f t="shared" si="215"/>
        <v>0</v>
      </c>
      <c r="AQ246" s="10">
        <f t="shared" si="216"/>
        <v>0</v>
      </c>
      <c r="AR246" s="10">
        <f t="shared" si="217"/>
        <v>0</v>
      </c>
      <c r="AS246" s="10">
        <f t="shared" si="218"/>
        <v>0</v>
      </c>
      <c r="AT246" s="10">
        <f t="shared" si="219"/>
        <v>0</v>
      </c>
      <c r="AU246" s="10">
        <f t="shared" si="220"/>
        <v>0</v>
      </c>
      <c r="AV246" s="10">
        <f t="shared" si="221"/>
        <v>0</v>
      </c>
      <c r="AW246" s="10">
        <f t="shared" si="222"/>
        <v>0</v>
      </c>
      <c r="AX246" s="10">
        <f t="shared" si="223"/>
        <v>0</v>
      </c>
    </row>
    <row r="247" spans="1:50" x14ac:dyDescent="0.2">
      <c r="A247" s="8">
        <v>11400</v>
      </c>
      <c r="B247" s="89" t="str">
        <f t="shared" si="175"/>
        <v>Cabonne</v>
      </c>
      <c r="C247" s="9" t="str">
        <f t="shared" si="176"/>
        <v>NetWaste</v>
      </c>
      <c r="D247" s="51" t="str">
        <f t="shared" si="177"/>
        <v>N</v>
      </c>
      <c r="E247" s="10" t="str">
        <f t="shared" si="178"/>
        <v>CNJO</v>
      </c>
      <c r="F247" s="10">
        <f t="shared" si="179"/>
        <v>13677</v>
      </c>
      <c r="G247" s="10">
        <f t="shared" si="180"/>
        <v>7436</v>
      </c>
      <c r="H247" s="10">
        <f t="shared" si="181"/>
        <v>1.8392953200645508</v>
      </c>
      <c r="I247" s="10">
        <f t="shared" si="182"/>
        <v>6022.3</v>
      </c>
      <c r="J247" s="10">
        <f t="shared" si="183"/>
        <v>2.2999999999999998</v>
      </c>
      <c r="K247" s="10">
        <f t="shared" si="184"/>
        <v>397.4</v>
      </c>
      <c r="L247" s="10" t="str">
        <f t="shared" si="185"/>
        <v>Y</v>
      </c>
      <c r="M247" s="10">
        <f t="shared" si="186"/>
        <v>3691</v>
      </c>
      <c r="N247" s="10">
        <f t="shared" si="187"/>
        <v>3691</v>
      </c>
      <c r="O247" s="10">
        <f t="shared" si="188"/>
        <v>0</v>
      </c>
      <c r="P247" s="10">
        <f t="shared" si="189"/>
        <v>0</v>
      </c>
      <c r="Q247" s="10">
        <f t="shared" si="190"/>
        <v>7436</v>
      </c>
      <c r="R247" s="10" t="str">
        <f t="shared" si="191"/>
        <v>Yes</v>
      </c>
      <c r="S247" s="10" t="str">
        <f t="shared" si="192"/>
        <v>Canowindra - Nangar Road, Canowindra NSW 2804</v>
      </c>
      <c r="T247" s="10" t="str">
        <f t="shared" si="193"/>
        <v>Cumnock - Baldry Road, Cumnock NSW 2867</v>
      </c>
      <c r="U247" s="10" t="str">
        <f t="shared" si="194"/>
        <v>Eugowra - The Escort Way, Eugowra NSW 2806</v>
      </c>
      <c r="V247" s="10" t="str">
        <f t="shared" si="195"/>
        <v>Manildra - Yellowbox Road, Manildra NSW 2865</v>
      </c>
      <c r="W247" s="10">
        <f t="shared" si="196"/>
        <v>0</v>
      </c>
      <c r="X247" s="10">
        <f t="shared" si="197"/>
        <v>0</v>
      </c>
      <c r="Y247" s="10">
        <f t="shared" si="198"/>
        <v>0</v>
      </c>
      <c r="Z247" s="10">
        <f t="shared" si="199"/>
        <v>0</v>
      </c>
      <c r="AA247" s="10">
        <f t="shared" si="200"/>
        <v>0</v>
      </c>
      <c r="AB247" s="10">
        <f t="shared" si="201"/>
        <v>0</v>
      </c>
      <c r="AC247" s="10">
        <f t="shared" si="202"/>
        <v>0</v>
      </c>
      <c r="AD247" s="10">
        <f t="shared" si="203"/>
        <v>0</v>
      </c>
      <c r="AE247" s="10">
        <f t="shared" si="204"/>
        <v>0</v>
      </c>
      <c r="AF247" s="10">
        <f t="shared" si="205"/>
        <v>0</v>
      </c>
      <c r="AG247" s="10">
        <f t="shared" si="206"/>
        <v>0</v>
      </c>
      <c r="AH247" s="10">
        <f t="shared" si="207"/>
        <v>0</v>
      </c>
      <c r="AI247" s="10">
        <f t="shared" si="208"/>
        <v>0</v>
      </c>
      <c r="AJ247" s="10">
        <f t="shared" si="209"/>
        <v>0</v>
      </c>
      <c r="AK247" s="10">
        <f t="shared" si="210"/>
        <v>0</v>
      </c>
      <c r="AL247" s="10">
        <f t="shared" si="211"/>
        <v>0</v>
      </c>
      <c r="AM247" s="10">
        <f t="shared" si="212"/>
        <v>0</v>
      </c>
      <c r="AN247" s="46">
        <f t="shared" si="213"/>
        <v>0</v>
      </c>
      <c r="AO247" s="10">
        <f t="shared" si="214"/>
        <v>0</v>
      </c>
      <c r="AP247" s="10">
        <f t="shared" si="215"/>
        <v>0</v>
      </c>
      <c r="AQ247" s="10">
        <f t="shared" si="216"/>
        <v>0</v>
      </c>
      <c r="AR247" s="10">
        <f t="shared" si="217"/>
        <v>0</v>
      </c>
      <c r="AS247" s="10">
        <f t="shared" si="218"/>
        <v>0</v>
      </c>
      <c r="AT247" s="10">
        <f t="shared" si="219"/>
        <v>0</v>
      </c>
      <c r="AU247" s="10">
        <f t="shared" si="220"/>
        <v>0</v>
      </c>
      <c r="AV247" s="10">
        <f t="shared" si="221"/>
        <v>0</v>
      </c>
      <c r="AW247" s="10">
        <f t="shared" si="222"/>
        <v>0</v>
      </c>
      <c r="AX247" s="10">
        <f t="shared" si="223"/>
        <v>0</v>
      </c>
    </row>
    <row r="248" spans="1:50" x14ac:dyDescent="0.2">
      <c r="A248" s="8">
        <v>11600</v>
      </c>
      <c r="B248" s="89" t="str">
        <f t="shared" si="175"/>
        <v>Carrathool</v>
      </c>
      <c r="C248" s="9" t="str">
        <f t="shared" si="176"/>
        <v>RAMJO Riverina</v>
      </c>
      <c r="D248" s="51" t="str">
        <f t="shared" si="177"/>
        <v>N</v>
      </c>
      <c r="E248" s="10" t="str">
        <f t="shared" si="178"/>
        <v>RMJO</v>
      </c>
      <c r="F248" s="10">
        <f t="shared" si="179"/>
        <v>2796</v>
      </c>
      <c r="G248" s="10">
        <f t="shared" si="180"/>
        <v>1343</v>
      </c>
      <c r="H248" s="10">
        <f t="shared" si="181"/>
        <v>2.0819061801935965</v>
      </c>
      <c r="I248" s="10">
        <f t="shared" si="182"/>
        <v>18934.5</v>
      </c>
      <c r="J248" s="10">
        <f t="shared" si="183"/>
        <v>0.1</v>
      </c>
      <c r="K248" s="10">
        <f t="shared" si="184"/>
        <v>203</v>
      </c>
      <c r="L248" s="10" t="str">
        <f t="shared" si="185"/>
        <v>Y</v>
      </c>
      <c r="M248" s="10">
        <f t="shared" si="186"/>
        <v>608</v>
      </c>
      <c r="N248" s="10">
        <f t="shared" si="187"/>
        <v>0</v>
      </c>
      <c r="O248" s="10">
        <f t="shared" si="188"/>
        <v>0</v>
      </c>
      <c r="P248" s="10">
        <f t="shared" si="189"/>
        <v>0</v>
      </c>
      <c r="Q248" s="10">
        <f t="shared" si="190"/>
        <v>0</v>
      </c>
      <c r="R248" s="10" t="str">
        <f t="shared" si="191"/>
        <v>No</v>
      </c>
      <c r="S248" s="10">
        <f t="shared" si="192"/>
        <v>0</v>
      </c>
      <c r="T248" s="10">
        <f t="shared" si="193"/>
        <v>0</v>
      </c>
      <c r="U248" s="10">
        <f t="shared" si="194"/>
        <v>0</v>
      </c>
      <c r="V248" s="10">
        <f t="shared" si="195"/>
        <v>0</v>
      </c>
      <c r="W248" s="10">
        <f t="shared" si="196"/>
        <v>0</v>
      </c>
      <c r="X248" s="10">
        <f t="shared" si="197"/>
        <v>0</v>
      </c>
      <c r="Y248" s="10">
        <f t="shared" si="198"/>
        <v>0</v>
      </c>
      <c r="Z248" s="10">
        <f t="shared" si="199"/>
        <v>0</v>
      </c>
      <c r="AA248" s="10">
        <f t="shared" si="200"/>
        <v>0</v>
      </c>
      <c r="AB248" s="10">
        <f t="shared" si="201"/>
        <v>0</v>
      </c>
      <c r="AC248" s="10">
        <f t="shared" si="202"/>
        <v>0</v>
      </c>
      <c r="AD248" s="10">
        <f t="shared" si="203"/>
        <v>0</v>
      </c>
      <c r="AE248" s="10">
        <f t="shared" si="204"/>
        <v>0</v>
      </c>
      <c r="AF248" s="10">
        <f t="shared" si="205"/>
        <v>0</v>
      </c>
      <c r="AG248" s="10">
        <f t="shared" si="206"/>
        <v>0</v>
      </c>
      <c r="AH248" s="10">
        <f t="shared" si="207"/>
        <v>0</v>
      </c>
      <c r="AI248" s="10">
        <f t="shared" si="208"/>
        <v>0</v>
      </c>
      <c r="AJ248" s="10">
        <f t="shared" si="209"/>
        <v>0</v>
      </c>
      <c r="AK248" s="10">
        <f t="shared" si="210"/>
        <v>0</v>
      </c>
      <c r="AL248" s="10">
        <f t="shared" si="211"/>
        <v>0</v>
      </c>
      <c r="AM248" s="10">
        <f t="shared" si="212"/>
        <v>0</v>
      </c>
      <c r="AN248" s="46">
        <f t="shared" si="213"/>
        <v>0</v>
      </c>
      <c r="AO248" s="10">
        <f t="shared" si="214"/>
        <v>0</v>
      </c>
      <c r="AP248" s="10">
        <f t="shared" si="215"/>
        <v>0</v>
      </c>
      <c r="AQ248" s="10">
        <f t="shared" si="216"/>
        <v>0</v>
      </c>
      <c r="AR248" s="10">
        <f t="shared" si="217"/>
        <v>0</v>
      </c>
      <c r="AS248" s="10">
        <f t="shared" si="218"/>
        <v>0</v>
      </c>
      <c r="AT248" s="10">
        <f t="shared" si="219"/>
        <v>0</v>
      </c>
      <c r="AU248" s="10">
        <f t="shared" si="220"/>
        <v>0</v>
      </c>
      <c r="AV248" s="10">
        <f t="shared" si="221"/>
        <v>0</v>
      </c>
      <c r="AW248" s="10">
        <f t="shared" si="222"/>
        <v>0</v>
      </c>
      <c r="AX248" s="10">
        <f t="shared" si="223"/>
        <v>0</v>
      </c>
    </row>
    <row r="249" spans="1:50" x14ac:dyDescent="0.2">
      <c r="A249" s="8">
        <v>11700</v>
      </c>
      <c r="B249" s="89" t="str">
        <f t="shared" si="175"/>
        <v>Central Darling</v>
      </c>
      <c r="C249" s="9" t="str">
        <f t="shared" si="176"/>
        <v>NetWaste</v>
      </c>
      <c r="D249" s="51" t="str">
        <f t="shared" si="177"/>
        <v>N</v>
      </c>
      <c r="E249" s="10" t="str">
        <f t="shared" si="178"/>
        <v>FSWJO</v>
      </c>
      <c r="F249" s="10">
        <f t="shared" si="179"/>
        <v>1829</v>
      </c>
      <c r="G249" s="10">
        <f t="shared" si="180"/>
        <v>1953</v>
      </c>
      <c r="H249" s="10">
        <f t="shared" si="181"/>
        <v>0.93650793650793651</v>
      </c>
      <c r="I249" s="10">
        <f t="shared" si="182"/>
        <v>53492.2</v>
      </c>
      <c r="J249" s="10">
        <f t="shared" si="183"/>
        <v>0</v>
      </c>
      <c r="K249" s="10">
        <f t="shared" si="184"/>
        <v>617</v>
      </c>
      <c r="L249" s="10" t="str">
        <f t="shared" si="185"/>
        <v>Y</v>
      </c>
      <c r="M249" s="10">
        <f t="shared" si="186"/>
        <v>719</v>
      </c>
      <c r="N249" s="10">
        <f t="shared" si="187"/>
        <v>0</v>
      </c>
      <c r="O249" s="10">
        <f t="shared" si="188"/>
        <v>0</v>
      </c>
      <c r="P249" s="10">
        <f t="shared" si="189"/>
        <v>0</v>
      </c>
      <c r="Q249" s="10">
        <f t="shared" si="190"/>
        <v>0</v>
      </c>
      <c r="R249" s="10" t="str">
        <f t="shared" si="191"/>
        <v>Yes</v>
      </c>
      <c r="S249" s="10" t="str">
        <f t="shared" si="192"/>
        <v>Tilpa landfill</v>
      </c>
      <c r="T249" s="10" t="str">
        <f t="shared" si="193"/>
        <v>Wilcannia landfill</v>
      </c>
      <c r="U249" s="10" t="str">
        <f t="shared" si="194"/>
        <v>Menindee landfill</v>
      </c>
      <c r="V249" s="10" t="str">
        <f t="shared" si="195"/>
        <v>Ivanhoe landfill</v>
      </c>
      <c r="W249" s="10" t="str">
        <f t="shared" si="196"/>
        <v>Sunset Strip landfill</v>
      </c>
      <c r="X249" s="10" t="str">
        <f t="shared" si="197"/>
        <v>White Cliffs landfill</v>
      </c>
      <c r="Y249" s="10">
        <f t="shared" si="198"/>
        <v>0</v>
      </c>
      <c r="Z249" s="10">
        <f t="shared" si="199"/>
        <v>0</v>
      </c>
      <c r="AA249" s="10">
        <f t="shared" si="200"/>
        <v>0</v>
      </c>
      <c r="AB249" s="10">
        <f t="shared" si="201"/>
        <v>0</v>
      </c>
      <c r="AC249" s="10">
        <f t="shared" si="202"/>
        <v>0</v>
      </c>
      <c r="AD249" s="10">
        <f t="shared" si="203"/>
        <v>0</v>
      </c>
      <c r="AE249" s="10">
        <f t="shared" si="204"/>
        <v>0</v>
      </c>
      <c r="AF249" s="10">
        <f t="shared" si="205"/>
        <v>0</v>
      </c>
      <c r="AG249" s="10">
        <f t="shared" si="206"/>
        <v>0</v>
      </c>
      <c r="AH249" s="10">
        <f t="shared" si="207"/>
        <v>0</v>
      </c>
      <c r="AI249" s="10">
        <f t="shared" si="208"/>
        <v>0</v>
      </c>
      <c r="AJ249" s="10">
        <f t="shared" si="209"/>
        <v>0</v>
      </c>
      <c r="AK249" s="10">
        <f t="shared" si="210"/>
        <v>0</v>
      </c>
      <c r="AL249" s="10">
        <f t="shared" si="211"/>
        <v>0</v>
      </c>
      <c r="AM249" s="10">
        <f t="shared" si="212"/>
        <v>0</v>
      </c>
      <c r="AN249" s="46">
        <f t="shared" si="213"/>
        <v>0</v>
      </c>
      <c r="AO249" s="10">
        <f t="shared" si="214"/>
        <v>0</v>
      </c>
      <c r="AP249" s="10">
        <f t="shared" si="215"/>
        <v>0</v>
      </c>
      <c r="AQ249" s="10">
        <f t="shared" si="216"/>
        <v>0</v>
      </c>
      <c r="AR249" s="10">
        <f t="shared" si="217"/>
        <v>0</v>
      </c>
      <c r="AS249" s="10">
        <f t="shared" si="218"/>
        <v>0</v>
      </c>
      <c r="AT249" s="10">
        <f t="shared" si="219"/>
        <v>0</v>
      </c>
      <c r="AU249" s="10">
        <f t="shared" si="220"/>
        <v>0</v>
      </c>
      <c r="AV249" s="10">
        <f t="shared" si="221"/>
        <v>0</v>
      </c>
      <c r="AW249" s="10">
        <f t="shared" si="222"/>
        <v>0</v>
      </c>
      <c r="AX249" s="10">
        <f t="shared" si="223"/>
        <v>0</v>
      </c>
    </row>
    <row r="250" spans="1:50" x14ac:dyDescent="0.2">
      <c r="A250" s="8">
        <v>11750</v>
      </c>
      <c r="B250" s="89" t="str">
        <f t="shared" si="175"/>
        <v>Cobar</v>
      </c>
      <c r="C250" s="9" t="str">
        <f t="shared" si="176"/>
        <v>NetWaste</v>
      </c>
      <c r="D250" s="51" t="str">
        <f t="shared" si="177"/>
        <v>N</v>
      </c>
      <c r="E250" s="10" t="str">
        <f t="shared" si="178"/>
        <v>FNWJO</v>
      </c>
      <c r="F250" s="10">
        <f t="shared" si="179"/>
        <v>4417</v>
      </c>
      <c r="G250" s="10">
        <f t="shared" si="180"/>
        <v>2887</v>
      </c>
      <c r="H250" s="10">
        <f t="shared" si="181"/>
        <v>1.5299618981641843</v>
      </c>
      <c r="I250" s="10">
        <f t="shared" si="182"/>
        <v>45575.4</v>
      </c>
      <c r="J250" s="10">
        <f t="shared" si="183"/>
        <v>0.1</v>
      </c>
      <c r="K250" s="10">
        <f t="shared" si="184"/>
        <v>252</v>
      </c>
      <c r="L250" s="10" t="str">
        <f t="shared" si="185"/>
        <v>Y</v>
      </c>
      <c r="M250" s="10">
        <f t="shared" si="186"/>
        <v>1763</v>
      </c>
      <c r="N250" s="10">
        <f t="shared" si="187"/>
        <v>0</v>
      </c>
      <c r="O250" s="10">
        <f t="shared" si="188"/>
        <v>0</v>
      </c>
      <c r="P250" s="10">
        <f t="shared" si="189"/>
        <v>0</v>
      </c>
      <c r="Q250" s="10">
        <f t="shared" si="190"/>
        <v>0</v>
      </c>
      <c r="R250" s="10" t="str">
        <f t="shared" si="191"/>
        <v>Yes</v>
      </c>
      <c r="S250" s="10" t="str">
        <f t="shared" si="192"/>
        <v xml:space="preserve">Cobar Landfill </v>
      </c>
      <c r="T250" s="10" t="str">
        <f t="shared" si="193"/>
        <v>Canbeligo Transfer Station</v>
      </c>
      <c r="U250" s="10" t="str">
        <f t="shared" si="194"/>
        <v xml:space="preserve">Nymagee Landfill </v>
      </c>
      <c r="V250" s="10" t="str">
        <f t="shared" si="195"/>
        <v xml:space="preserve">Euabalong Landfill </v>
      </c>
      <c r="W250" s="10" t="str">
        <f t="shared" si="196"/>
        <v xml:space="preserve">Euabalong West Landfill </v>
      </c>
      <c r="X250" s="10" t="str">
        <f t="shared" si="197"/>
        <v>Mount Hope</v>
      </c>
      <c r="Y250" s="10">
        <f t="shared" si="198"/>
        <v>0</v>
      </c>
      <c r="Z250" s="10">
        <f t="shared" si="199"/>
        <v>0</v>
      </c>
      <c r="AA250" s="10">
        <f t="shared" si="200"/>
        <v>0</v>
      </c>
      <c r="AB250" s="10">
        <f t="shared" si="201"/>
        <v>0</v>
      </c>
      <c r="AC250" s="10">
        <f t="shared" si="202"/>
        <v>0</v>
      </c>
      <c r="AD250" s="10">
        <f t="shared" si="203"/>
        <v>0</v>
      </c>
      <c r="AE250" s="10">
        <f t="shared" si="204"/>
        <v>0</v>
      </c>
      <c r="AF250" s="10">
        <f t="shared" si="205"/>
        <v>0</v>
      </c>
      <c r="AG250" s="10">
        <f t="shared" si="206"/>
        <v>0</v>
      </c>
      <c r="AH250" s="10">
        <f t="shared" si="207"/>
        <v>0</v>
      </c>
      <c r="AI250" s="10">
        <f t="shared" si="208"/>
        <v>0</v>
      </c>
      <c r="AJ250" s="10">
        <f t="shared" si="209"/>
        <v>0</v>
      </c>
      <c r="AK250" s="10">
        <f t="shared" si="210"/>
        <v>0</v>
      </c>
      <c r="AL250" s="10">
        <f t="shared" si="211"/>
        <v>0</v>
      </c>
      <c r="AM250" s="10">
        <f t="shared" si="212"/>
        <v>0</v>
      </c>
      <c r="AN250" s="46">
        <f t="shared" si="213"/>
        <v>0</v>
      </c>
      <c r="AO250" s="10">
        <f t="shared" si="214"/>
        <v>0</v>
      </c>
      <c r="AP250" s="10">
        <f t="shared" si="215"/>
        <v>0</v>
      </c>
      <c r="AQ250" s="10">
        <f t="shared" si="216"/>
        <v>0</v>
      </c>
      <c r="AR250" s="10">
        <f t="shared" si="217"/>
        <v>0</v>
      </c>
      <c r="AS250" s="10">
        <f t="shared" si="218"/>
        <v>0</v>
      </c>
      <c r="AT250" s="10">
        <f t="shared" si="219"/>
        <v>0</v>
      </c>
      <c r="AU250" s="10">
        <f t="shared" si="220"/>
        <v>0</v>
      </c>
      <c r="AV250" s="10">
        <f t="shared" si="221"/>
        <v>0</v>
      </c>
      <c r="AW250" s="10">
        <f t="shared" si="222"/>
        <v>0</v>
      </c>
      <c r="AX250" s="10">
        <f t="shared" si="223"/>
        <v>0</v>
      </c>
    </row>
    <row r="251" spans="1:50" x14ac:dyDescent="0.2">
      <c r="A251" s="8">
        <v>12000</v>
      </c>
      <c r="B251" s="89" t="str">
        <f t="shared" si="175"/>
        <v>Coolamon</v>
      </c>
      <c r="C251" s="9" t="str">
        <f t="shared" si="176"/>
        <v>REROC</v>
      </c>
      <c r="D251" s="51" t="str">
        <f t="shared" si="177"/>
        <v>N</v>
      </c>
      <c r="E251" s="10" t="str">
        <f t="shared" si="178"/>
        <v>RJO</v>
      </c>
      <c r="F251" s="10">
        <f t="shared" si="179"/>
        <v>4291</v>
      </c>
      <c r="G251" s="10">
        <f t="shared" si="180"/>
        <v>3046</v>
      </c>
      <c r="H251" s="10">
        <f t="shared" si="181"/>
        <v>1.4087327642810243</v>
      </c>
      <c r="I251" s="10">
        <f t="shared" si="182"/>
        <v>2430.9</v>
      </c>
      <c r="J251" s="10">
        <f t="shared" si="183"/>
        <v>1.8</v>
      </c>
      <c r="K251" s="10">
        <f t="shared" si="184"/>
        <v>295</v>
      </c>
      <c r="L251" s="10" t="str">
        <f t="shared" si="185"/>
        <v>Y</v>
      </c>
      <c r="M251" s="10">
        <f t="shared" si="186"/>
        <v>1746</v>
      </c>
      <c r="N251" s="10">
        <f t="shared" si="187"/>
        <v>1721</v>
      </c>
      <c r="O251" s="10">
        <f t="shared" si="188"/>
        <v>0</v>
      </c>
      <c r="P251" s="10">
        <f t="shared" si="189"/>
        <v>1266</v>
      </c>
      <c r="Q251" s="10">
        <f t="shared" si="190"/>
        <v>3046</v>
      </c>
      <c r="R251" s="10" t="str">
        <f t="shared" si="191"/>
        <v>No</v>
      </c>
      <c r="S251" s="10" t="str">
        <f t="shared" si="192"/>
        <v>Ardlethan Landfill - Newell Highway, Ardlethan</v>
      </c>
      <c r="T251" s="10" t="str">
        <f t="shared" si="193"/>
        <v>Coolamon Landfill - 102 Dyces Lane, Coolamon</v>
      </c>
      <c r="U251" s="10" t="str">
        <f t="shared" si="194"/>
        <v>Ganmain Landfill - Grave Street, Ganmain</v>
      </c>
      <c r="V251" s="10" t="str">
        <f t="shared" si="195"/>
        <v>Marrar Landfill - Easticks Lane, Coolamon</v>
      </c>
      <c r="W251" s="10">
        <f t="shared" si="196"/>
        <v>0</v>
      </c>
      <c r="X251" s="10">
        <f t="shared" si="197"/>
        <v>0</v>
      </c>
      <c r="Y251" s="10">
        <f t="shared" si="198"/>
        <v>0</v>
      </c>
      <c r="Z251" s="10">
        <f t="shared" si="199"/>
        <v>0</v>
      </c>
      <c r="AA251" s="10">
        <f t="shared" si="200"/>
        <v>0</v>
      </c>
      <c r="AB251" s="10">
        <f t="shared" si="201"/>
        <v>0</v>
      </c>
      <c r="AC251" s="10">
        <f t="shared" si="202"/>
        <v>0</v>
      </c>
      <c r="AD251" s="10">
        <f t="shared" si="203"/>
        <v>0</v>
      </c>
      <c r="AE251" s="10">
        <f t="shared" si="204"/>
        <v>0</v>
      </c>
      <c r="AF251" s="10">
        <f t="shared" si="205"/>
        <v>0</v>
      </c>
      <c r="AG251" s="10">
        <f t="shared" si="206"/>
        <v>0</v>
      </c>
      <c r="AH251" s="10">
        <f t="shared" si="207"/>
        <v>0</v>
      </c>
      <c r="AI251" s="10">
        <f t="shared" si="208"/>
        <v>0</v>
      </c>
      <c r="AJ251" s="10">
        <f t="shared" si="209"/>
        <v>0</v>
      </c>
      <c r="AK251" s="10">
        <f t="shared" si="210"/>
        <v>0</v>
      </c>
      <c r="AL251" s="10">
        <f t="shared" si="211"/>
        <v>0</v>
      </c>
      <c r="AM251" s="10">
        <f t="shared" si="212"/>
        <v>0</v>
      </c>
      <c r="AN251" s="46">
        <f t="shared" si="213"/>
        <v>0</v>
      </c>
      <c r="AO251" s="10">
        <f t="shared" si="214"/>
        <v>0</v>
      </c>
      <c r="AP251" s="10">
        <f t="shared" si="215"/>
        <v>0</v>
      </c>
      <c r="AQ251" s="10">
        <f t="shared" si="216"/>
        <v>0</v>
      </c>
      <c r="AR251" s="10">
        <f t="shared" si="217"/>
        <v>0</v>
      </c>
      <c r="AS251" s="10">
        <f t="shared" si="218"/>
        <v>0</v>
      </c>
      <c r="AT251" s="10">
        <f t="shared" si="219"/>
        <v>0</v>
      </c>
      <c r="AU251" s="10">
        <f t="shared" si="220"/>
        <v>0</v>
      </c>
      <c r="AV251" s="10">
        <f t="shared" si="221"/>
        <v>0</v>
      </c>
      <c r="AW251" s="10">
        <f t="shared" si="222"/>
        <v>0</v>
      </c>
      <c r="AX251" s="10">
        <f t="shared" si="223"/>
        <v>0</v>
      </c>
    </row>
    <row r="252" spans="1:50" x14ac:dyDescent="0.2">
      <c r="A252" s="8">
        <v>12150</v>
      </c>
      <c r="B252" s="89" t="str">
        <f t="shared" si="175"/>
        <v>Coonamble</v>
      </c>
      <c r="C252" s="9" t="str">
        <f t="shared" si="176"/>
        <v>NetWaste</v>
      </c>
      <c r="D252" s="51" t="str">
        <f t="shared" si="177"/>
        <v>N</v>
      </c>
      <c r="E252" s="10">
        <f t="shared" si="178"/>
        <v>0</v>
      </c>
      <c r="F252" s="10">
        <f t="shared" si="179"/>
        <v>3907</v>
      </c>
      <c r="G252" s="10">
        <f t="shared" si="180"/>
        <v>2714</v>
      </c>
      <c r="H252" s="10">
        <f t="shared" si="181"/>
        <v>1.439572586588062</v>
      </c>
      <c r="I252" s="10">
        <f t="shared" si="182"/>
        <v>9916.1</v>
      </c>
      <c r="J252" s="10">
        <f t="shared" si="183"/>
        <v>0.4</v>
      </c>
      <c r="K252" s="10">
        <f t="shared" si="184"/>
        <v>280</v>
      </c>
      <c r="L252" s="10" t="str">
        <f t="shared" si="185"/>
        <v>Y</v>
      </c>
      <c r="M252" s="10">
        <f t="shared" si="186"/>
        <v>1527</v>
      </c>
      <c r="N252" s="10">
        <f t="shared" si="187"/>
        <v>0</v>
      </c>
      <c r="O252" s="10">
        <f t="shared" si="188"/>
        <v>0</v>
      </c>
      <c r="P252" s="10">
        <f t="shared" si="189"/>
        <v>0</v>
      </c>
      <c r="Q252" s="10">
        <f t="shared" si="190"/>
        <v>0</v>
      </c>
      <c r="R252" s="10" t="str">
        <f t="shared" si="191"/>
        <v>Yes</v>
      </c>
      <c r="S252" s="10" t="str">
        <f t="shared" si="192"/>
        <v>Coonamble Landfill</v>
      </c>
      <c r="T252" s="10" t="str">
        <f t="shared" si="193"/>
        <v>Gulargambone Transfer Station</v>
      </c>
      <c r="U252" s="10">
        <f t="shared" si="194"/>
        <v>0</v>
      </c>
      <c r="V252" s="10">
        <f t="shared" si="195"/>
        <v>0</v>
      </c>
      <c r="W252" s="10">
        <f t="shared" si="196"/>
        <v>0</v>
      </c>
      <c r="X252" s="10">
        <f t="shared" si="197"/>
        <v>0</v>
      </c>
      <c r="Y252" s="10">
        <f t="shared" si="198"/>
        <v>0</v>
      </c>
      <c r="Z252" s="10">
        <f t="shared" si="199"/>
        <v>0</v>
      </c>
      <c r="AA252" s="10">
        <f t="shared" si="200"/>
        <v>0</v>
      </c>
      <c r="AB252" s="10">
        <f t="shared" si="201"/>
        <v>0</v>
      </c>
      <c r="AC252" s="10">
        <f t="shared" si="202"/>
        <v>0</v>
      </c>
      <c r="AD252" s="10">
        <f t="shared" si="203"/>
        <v>0</v>
      </c>
      <c r="AE252" s="10">
        <f t="shared" si="204"/>
        <v>0</v>
      </c>
      <c r="AF252" s="10">
        <f t="shared" si="205"/>
        <v>0</v>
      </c>
      <c r="AG252" s="10">
        <f t="shared" si="206"/>
        <v>0</v>
      </c>
      <c r="AH252" s="10">
        <f t="shared" si="207"/>
        <v>0</v>
      </c>
      <c r="AI252" s="10">
        <f t="shared" si="208"/>
        <v>0</v>
      </c>
      <c r="AJ252" s="10">
        <f t="shared" si="209"/>
        <v>0</v>
      </c>
      <c r="AK252" s="10">
        <f t="shared" si="210"/>
        <v>0</v>
      </c>
      <c r="AL252" s="10">
        <f t="shared" si="211"/>
        <v>0</v>
      </c>
      <c r="AM252" s="10">
        <f t="shared" si="212"/>
        <v>0</v>
      </c>
      <c r="AN252" s="46">
        <f t="shared" si="213"/>
        <v>0</v>
      </c>
      <c r="AO252" s="10">
        <f t="shared" si="214"/>
        <v>0</v>
      </c>
      <c r="AP252" s="10">
        <f t="shared" si="215"/>
        <v>0</v>
      </c>
      <c r="AQ252" s="10">
        <f t="shared" si="216"/>
        <v>0</v>
      </c>
      <c r="AR252" s="10">
        <f t="shared" si="217"/>
        <v>0</v>
      </c>
      <c r="AS252" s="10">
        <f t="shared" si="218"/>
        <v>0</v>
      </c>
      <c r="AT252" s="10">
        <f t="shared" si="219"/>
        <v>0</v>
      </c>
      <c r="AU252" s="10">
        <f t="shared" si="220"/>
        <v>0</v>
      </c>
      <c r="AV252" s="10">
        <f t="shared" si="221"/>
        <v>0</v>
      </c>
      <c r="AW252" s="10">
        <f t="shared" si="222"/>
        <v>0</v>
      </c>
      <c r="AX252" s="10">
        <f t="shared" si="223"/>
        <v>0</v>
      </c>
    </row>
    <row r="253" spans="1:50" x14ac:dyDescent="0.2">
      <c r="A253" s="8">
        <v>12160</v>
      </c>
      <c r="B253" s="89" t="str">
        <f t="shared" si="175"/>
        <v>Cootamundra - Gundagai</v>
      </c>
      <c r="C253" s="9" t="str">
        <f t="shared" si="176"/>
        <v>REROC</v>
      </c>
      <c r="D253" s="51" t="str">
        <f t="shared" si="177"/>
        <v>N</v>
      </c>
      <c r="E253" s="10" t="str">
        <f t="shared" si="178"/>
        <v>RJO</v>
      </c>
      <c r="F253" s="10">
        <f t="shared" si="179"/>
        <v>11225</v>
      </c>
      <c r="G253" s="10">
        <f t="shared" si="180"/>
        <v>6213</v>
      </c>
      <c r="H253" s="10">
        <f t="shared" si="181"/>
        <v>1.8066956381780139</v>
      </c>
      <c r="I253" s="10">
        <f t="shared" si="182"/>
        <v>3981.4</v>
      </c>
      <c r="J253" s="10">
        <f t="shared" si="183"/>
        <v>2.8</v>
      </c>
      <c r="K253" s="10">
        <f t="shared" si="184"/>
        <v>554.24</v>
      </c>
      <c r="L253" s="10" t="str">
        <f t="shared" si="185"/>
        <v>Y</v>
      </c>
      <c r="M253" s="10">
        <f t="shared" si="186"/>
        <v>3936</v>
      </c>
      <c r="N253" s="10">
        <f t="shared" si="187"/>
        <v>3936</v>
      </c>
      <c r="O253" s="10">
        <f t="shared" si="188"/>
        <v>2578</v>
      </c>
      <c r="P253" s="10">
        <f t="shared" si="189"/>
        <v>1213</v>
      </c>
      <c r="Q253" s="10">
        <f t="shared" si="190"/>
        <v>0</v>
      </c>
      <c r="R253" s="10" t="str">
        <f t="shared" si="191"/>
        <v>No</v>
      </c>
      <c r="S253" s="10" t="str">
        <f t="shared" si="192"/>
        <v>Cootamundra Waste Facility</v>
      </c>
      <c r="T253" s="10" t="str">
        <f t="shared" si="193"/>
        <v>Gundagai Waste Facility</v>
      </c>
      <c r="U253" s="10">
        <f t="shared" si="194"/>
        <v>0</v>
      </c>
      <c r="V253" s="10">
        <f t="shared" si="195"/>
        <v>0</v>
      </c>
      <c r="W253" s="10">
        <f t="shared" si="196"/>
        <v>0</v>
      </c>
      <c r="X253" s="10">
        <f t="shared" si="197"/>
        <v>0</v>
      </c>
      <c r="Y253" s="10">
        <f t="shared" si="198"/>
        <v>0</v>
      </c>
      <c r="Z253" s="10">
        <f t="shared" si="199"/>
        <v>0</v>
      </c>
      <c r="AA253" s="10">
        <f t="shared" si="200"/>
        <v>0</v>
      </c>
      <c r="AB253" s="10">
        <f t="shared" si="201"/>
        <v>0</v>
      </c>
      <c r="AC253" s="10">
        <f t="shared" si="202"/>
        <v>0</v>
      </c>
      <c r="AD253" s="10">
        <f t="shared" si="203"/>
        <v>0</v>
      </c>
      <c r="AE253" s="10">
        <f t="shared" si="204"/>
        <v>0</v>
      </c>
      <c r="AF253" s="10">
        <f t="shared" si="205"/>
        <v>0</v>
      </c>
      <c r="AG253" s="10">
        <f t="shared" si="206"/>
        <v>0</v>
      </c>
      <c r="AH253" s="10">
        <f t="shared" si="207"/>
        <v>0</v>
      </c>
      <c r="AI253" s="10">
        <f t="shared" si="208"/>
        <v>0</v>
      </c>
      <c r="AJ253" s="10">
        <f t="shared" si="209"/>
        <v>0</v>
      </c>
      <c r="AK253" s="10">
        <f t="shared" si="210"/>
        <v>0</v>
      </c>
      <c r="AL253" s="10">
        <f t="shared" si="211"/>
        <v>0</v>
      </c>
      <c r="AM253" s="10">
        <f t="shared" si="212"/>
        <v>0</v>
      </c>
      <c r="AN253" s="46">
        <f t="shared" si="213"/>
        <v>0</v>
      </c>
      <c r="AO253" s="10">
        <f t="shared" si="214"/>
        <v>0</v>
      </c>
      <c r="AP253" s="10">
        <f t="shared" si="215"/>
        <v>0</v>
      </c>
      <c r="AQ253" s="10">
        <f t="shared" si="216"/>
        <v>0</v>
      </c>
      <c r="AR253" s="10">
        <f t="shared" si="217"/>
        <v>0</v>
      </c>
      <c r="AS253" s="10">
        <f t="shared" si="218"/>
        <v>0</v>
      </c>
      <c r="AT253" s="10">
        <f t="shared" si="219"/>
        <v>0</v>
      </c>
      <c r="AU253" s="10">
        <f t="shared" si="220"/>
        <v>0</v>
      </c>
      <c r="AV253" s="10">
        <f t="shared" si="221"/>
        <v>0</v>
      </c>
      <c r="AW253" s="10">
        <f t="shared" si="222"/>
        <v>0</v>
      </c>
      <c r="AX253" s="10">
        <f t="shared" si="223"/>
        <v>0</v>
      </c>
    </row>
    <row r="254" spans="1:50" x14ac:dyDescent="0.2">
      <c r="A254" s="8">
        <v>12350</v>
      </c>
      <c r="B254" s="89" t="str">
        <f t="shared" si="175"/>
        <v>Cowra</v>
      </c>
      <c r="C254" s="9" t="str">
        <f t="shared" si="176"/>
        <v>NetWaste</v>
      </c>
      <c r="D254" s="51" t="str">
        <f t="shared" si="177"/>
        <v>N</v>
      </c>
      <c r="E254" s="10" t="str">
        <f t="shared" si="178"/>
        <v>CNJO</v>
      </c>
      <c r="F254" s="10">
        <f t="shared" si="179"/>
        <v>12730</v>
      </c>
      <c r="G254" s="10">
        <f t="shared" si="180"/>
        <v>5262</v>
      </c>
      <c r="H254" s="10">
        <f t="shared" si="181"/>
        <v>2.4192322310908398</v>
      </c>
      <c r="I254" s="10">
        <f t="shared" si="182"/>
        <v>2808.8</v>
      </c>
      <c r="J254" s="10">
        <f t="shared" si="183"/>
        <v>4.5</v>
      </c>
      <c r="K254" s="10">
        <f t="shared" si="184"/>
        <v>669</v>
      </c>
      <c r="L254" s="10" t="str">
        <f t="shared" si="185"/>
        <v>Y</v>
      </c>
      <c r="M254" s="10">
        <f t="shared" si="186"/>
        <v>4763</v>
      </c>
      <c r="N254" s="10">
        <f t="shared" si="187"/>
        <v>4476</v>
      </c>
      <c r="O254" s="10">
        <f t="shared" si="188"/>
        <v>0</v>
      </c>
      <c r="P254" s="10">
        <f t="shared" si="189"/>
        <v>0</v>
      </c>
      <c r="Q254" s="10">
        <f t="shared" si="190"/>
        <v>0</v>
      </c>
      <c r="R254" s="10" t="str">
        <f t="shared" si="191"/>
        <v>Yes</v>
      </c>
      <c r="S254" s="10" t="str">
        <f t="shared" si="192"/>
        <v>Cowra MRF &amp; Landfill, 236 Glen Logan Rd, Cowra 2794</v>
      </c>
      <c r="T254" s="10">
        <f t="shared" si="193"/>
        <v>0</v>
      </c>
      <c r="U254" s="10">
        <f t="shared" si="194"/>
        <v>0</v>
      </c>
      <c r="V254" s="10">
        <f t="shared" si="195"/>
        <v>0</v>
      </c>
      <c r="W254" s="10">
        <f t="shared" si="196"/>
        <v>0</v>
      </c>
      <c r="X254" s="10">
        <f t="shared" si="197"/>
        <v>0</v>
      </c>
      <c r="Y254" s="10">
        <f t="shared" si="198"/>
        <v>0</v>
      </c>
      <c r="Z254" s="10">
        <f t="shared" si="199"/>
        <v>0</v>
      </c>
      <c r="AA254" s="10">
        <f t="shared" si="200"/>
        <v>0</v>
      </c>
      <c r="AB254" s="10">
        <f t="shared" si="201"/>
        <v>0</v>
      </c>
      <c r="AC254" s="10">
        <f t="shared" si="202"/>
        <v>0</v>
      </c>
      <c r="AD254" s="10">
        <f t="shared" si="203"/>
        <v>0</v>
      </c>
      <c r="AE254" s="10">
        <f t="shared" si="204"/>
        <v>0</v>
      </c>
      <c r="AF254" s="10">
        <f t="shared" si="205"/>
        <v>0</v>
      </c>
      <c r="AG254" s="10">
        <f t="shared" si="206"/>
        <v>0</v>
      </c>
      <c r="AH254" s="10">
        <f t="shared" si="207"/>
        <v>0</v>
      </c>
      <c r="AI254" s="10">
        <f t="shared" si="208"/>
        <v>0</v>
      </c>
      <c r="AJ254" s="10">
        <f t="shared" si="209"/>
        <v>0</v>
      </c>
      <c r="AK254" s="10">
        <f t="shared" si="210"/>
        <v>0</v>
      </c>
      <c r="AL254" s="10">
        <f t="shared" si="211"/>
        <v>0</v>
      </c>
      <c r="AM254" s="10">
        <f t="shared" si="212"/>
        <v>0</v>
      </c>
      <c r="AN254" s="46">
        <f t="shared" si="213"/>
        <v>0</v>
      </c>
      <c r="AO254" s="10">
        <f t="shared" si="214"/>
        <v>0</v>
      </c>
      <c r="AP254" s="10">
        <f t="shared" si="215"/>
        <v>0</v>
      </c>
      <c r="AQ254" s="10">
        <f t="shared" si="216"/>
        <v>0</v>
      </c>
      <c r="AR254" s="10">
        <f t="shared" si="217"/>
        <v>0</v>
      </c>
      <c r="AS254" s="10">
        <f t="shared" si="218"/>
        <v>0</v>
      </c>
      <c r="AT254" s="10">
        <f t="shared" si="219"/>
        <v>0</v>
      </c>
      <c r="AU254" s="10">
        <f t="shared" si="220"/>
        <v>0</v>
      </c>
      <c r="AV254" s="10">
        <f t="shared" si="221"/>
        <v>0</v>
      </c>
      <c r="AW254" s="10">
        <f t="shared" si="222"/>
        <v>0</v>
      </c>
      <c r="AX254" s="10">
        <f t="shared" si="223"/>
        <v>0</v>
      </c>
    </row>
    <row r="255" spans="1:50" x14ac:dyDescent="0.2">
      <c r="A255" s="8">
        <v>12390</v>
      </c>
      <c r="B255" s="89" t="str">
        <f t="shared" si="175"/>
        <v>Dubbo Regional</v>
      </c>
      <c r="C255" s="9" t="str">
        <f t="shared" si="176"/>
        <v>NetWaste</v>
      </c>
      <c r="D255" s="51" t="str">
        <f t="shared" si="177"/>
        <v>N</v>
      </c>
      <c r="E255" s="10">
        <f t="shared" si="178"/>
        <v>0</v>
      </c>
      <c r="F255" s="10">
        <f t="shared" si="179"/>
        <v>54044</v>
      </c>
      <c r="G255" s="10">
        <f t="shared" si="180"/>
        <v>23000</v>
      </c>
      <c r="H255" s="10">
        <f t="shared" si="181"/>
        <v>2.3497391304347826</v>
      </c>
      <c r="I255" s="10">
        <f t="shared" si="182"/>
        <v>7534.5</v>
      </c>
      <c r="J255" s="10">
        <f t="shared" si="183"/>
        <v>7.2</v>
      </c>
      <c r="K255" s="10">
        <f t="shared" si="184"/>
        <v>399.1</v>
      </c>
      <c r="L255" s="10" t="str">
        <f t="shared" si="185"/>
        <v>Y</v>
      </c>
      <c r="M255" s="10">
        <f t="shared" si="186"/>
        <v>18988</v>
      </c>
      <c r="N255" s="10">
        <f t="shared" si="187"/>
        <v>18988</v>
      </c>
      <c r="O255" s="10">
        <f t="shared" si="188"/>
        <v>0</v>
      </c>
      <c r="P255" s="10">
        <f t="shared" si="189"/>
        <v>15568</v>
      </c>
      <c r="Q255" s="10">
        <f t="shared" si="190"/>
        <v>23000</v>
      </c>
      <c r="R255" s="10" t="str">
        <f t="shared" si="191"/>
        <v>Yes</v>
      </c>
      <c r="S255" s="10">
        <f t="shared" si="192"/>
        <v>0</v>
      </c>
      <c r="T255" s="10">
        <f t="shared" si="193"/>
        <v>0</v>
      </c>
      <c r="U255" s="10">
        <f t="shared" si="194"/>
        <v>0</v>
      </c>
      <c r="V255" s="10">
        <f t="shared" si="195"/>
        <v>0</v>
      </c>
      <c r="W255" s="10">
        <f t="shared" si="196"/>
        <v>0</v>
      </c>
      <c r="X255" s="10">
        <f t="shared" si="197"/>
        <v>0</v>
      </c>
      <c r="Y255" s="10">
        <f t="shared" si="198"/>
        <v>0</v>
      </c>
      <c r="Z255" s="10">
        <f t="shared" si="199"/>
        <v>0</v>
      </c>
      <c r="AA255" s="10">
        <f t="shared" si="200"/>
        <v>0</v>
      </c>
      <c r="AB255" s="10">
        <f t="shared" si="201"/>
        <v>0</v>
      </c>
      <c r="AC255" s="10">
        <f t="shared" si="202"/>
        <v>0</v>
      </c>
      <c r="AD255" s="10">
        <f t="shared" si="203"/>
        <v>0</v>
      </c>
      <c r="AE255" s="10">
        <f t="shared" si="204"/>
        <v>0</v>
      </c>
      <c r="AF255" s="10">
        <f t="shared" si="205"/>
        <v>0</v>
      </c>
      <c r="AG255" s="10">
        <f t="shared" si="206"/>
        <v>0</v>
      </c>
      <c r="AH255" s="10">
        <f t="shared" si="207"/>
        <v>0</v>
      </c>
      <c r="AI255" s="10">
        <f t="shared" si="208"/>
        <v>0</v>
      </c>
      <c r="AJ255" s="10">
        <f t="shared" si="209"/>
        <v>0</v>
      </c>
      <c r="AK255" s="10">
        <f t="shared" si="210"/>
        <v>0</v>
      </c>
      <c r="AL255" s="10">
        <f t="shared" si="211"/>
        <v>0</v>
      </c>
      <c r="AM255" s="10">
        <f t="shared" si="212"/>
        <v>0</v>
      </c>
      <c r="AN255" s="46">
        <f t="shared" si="213"/>
        <v>0</v>
      </c>
      <c r="AO255" s="10">
        <f t="shared" si="214"/>
        <v>0</v>
      </c>
      <c r="AP255" s="10">
        <f t="shared" si="215"/>
        <v>0</v>
      </c>
      <c r="AQ255" s="10">
        <f t="shared" si="216"/>
        <v>0</v>
      </c>
      <c r="AR255" s="10">
        <f t="shared" si="217"/>
        <v>0</v>
      </c>
      <c r="AS255" s="10">
        <f t="shared" si="218"/>
        <v>0</v>
      </c>
      <c r="AT255" s="10">
        <f t="shared" si="219"/>
        <v>0</v>
      </c>
      <c r="AU255" s="10">
        <f t="shared" si="220"/>
        <v>0</v>
      </c>
      <c r="AV255" s="10">
        <f t="shared" si="221"/>
        <v>0</v>
      </c>
      <c r="AW255" s="10">
        <f t="shared" si="222"/>
        <v>0</v>
      </c>
      <c r="AX255" s="10">
        <f t="shared" si="223"/>
        <v>0</v>
      </c>
    </row>
    <row r="256" spans="1:50" x14ac:dyDescent="0.2">
      <c r="A256" s="8">
        <v>12730</v>
      </c>
      <c r="B256" s="89" t="str">
        <f t="shared" si="175"/>
        <v>Edward River</v>
      </c>
      <c r="C256" s="9" t="str">
        <f t="shared" si="176"/>
        <v>RAMJO Murray</v>
      </c>
      <c r="D256" s="51" t="str">
        <f t="shared" si="177"/>
        <v>N</v>
      </c>
      <c r="E256" s="10" t="str">
        <f t="shared" si="178"/>
        <v>RMJO</v>
      </c>
      <c r="F256" s="10">
        <f t="shared" si="179"/>
        <v>9083</v>
      </c>
      <c r="G256" s="10">
        <f t="shared" si="180"/>
        <v>5003</v>
      </c>
      <c r="H256" s="10">
        <f t="shared" si="181"/>
        <v>1.8155106935838496</v>
      </c>
      <c r="I256" s="10">
        <f t="shared" si="182"/>
        <v>8883.4</v>
      </c>
      <c r="J256" s="10">
        <f t="shared" si="183"/>
        <v>1</v>
      </c>
      <c r="K256" s="10">
        <f t="shared" si="184"/>
        <v>374</v>
      </c>
      <c r="L256" s="10" t="str">
        <f t="shared" si="185"/>
        <v>Y</v>
      </c>
      <c r="M256" s="10">
        <f t="shared" si="186"/>
        <v>3521</v>
      </c>
      <c r="N256" s="10">
        <f t="shared" si="187"/>
        <v>0</v>
      </c>
      <c r="O256" s="10">
        <f t="shared" si="188"/>
        <v>0</v>
      </c>
      <c r="P256" s="10">
        <f t="shared" si="189"/>
        <v>0</v>
      </c>
      <c r="Q256" s="10">
        <f t="shared" si="190"/>
        <v>0</v>
      </c>
      <c r="R256" s="10" t="str">
        <f t="shared" si="191"/>
        <v>Yes</v>
      </c>
      <c r="S256" s="10" t="str">
        <f t="shared" si="192"/>
        <v xml:space="preserve">Deniliquin Waste Disposal Depot, Hay Rd, Deniliquin NSW 2710 </v>
      </c>
      <c r="T256" s="10" t="str">
        <f t="shared" si="193"/>
        <v>Blighty Landfill, 18744 Riverina Hwy, Blighty NSW 2710</v>
      </c>
      <c r="U256" s="10" t="str">
        <f t="shared" si="194"/>
        <v>Booroorban Landfill, Cobb Hwy Booroorbam NSW 2710</v>
      </c>
      <c r="V256" s="10" t="str">
        <f t="shared" si="195"/>
        <v>Conargo Landfill, Conargo Rd (McKenzie St) Conargo NSW 2710</v>
      </c>
      <c r="W256" s="10" t="str">
        <f t="shared" si="196"/>
        <v>Pretty Pine Landfill, Pretty Pine Rd, Pretty Pine NSW 2710</v>
      </c>
      <c r="X256" s="10" t="str">
        <f t="shared" si="197"/>
        <v>Wanganella Landfill, Wanganella Tip Rd, Wanganella NSW 2710</v>
      </c>
      <c r="Y256" s="10">
        <f t="shared" si="198"/>
        <v>0</v>
      </c>
      <c r="Z256" s="10">
        <f t="shared" si="199"/>
        <v>0</v>
      </c>
      <c r="AA256" s="10">
        <f t="shared" si="200"/>
        <v>0</v>
      </c>
      <c r="AB256" s="10">
        <f t="shared" si="201"/>
        <v>0</v>
      </c>
      <c r="AC256" s="10">
        <f t="shared" si="202"/>
        <v>0</v>
      </c>
      <c r="AD256" s="10">
        <f t="shared" si="203"/>
        <v>0</v>
      </c>
      <c r="AE256" s="10">
        <f t="shared" si="204"/>
        <v>0</v>
      </c>
      <c r="AF256" s="10">
        <f t="shared" si="205"/>
        <v>0</v>
      </c>
      <c r="AG256" s="10">
        <f t="shared" si="206"/>
        <v>0</v>
      </c>
      <c r="AH256" s="10">
        <f t="shared" si="207"/>
        <v>0</v>
      </c>
      <c r="AI256" s="10">
        <f t="shared" si="208"/>
        <v>0</v>
      </c>
      <c r="AJ256" s="10">
        <f t="shared" si="209"/>
        <v>0</v>
      </c>
      <c r="AK256" s="10">
        <f t="shared" si="210"/>
        <v>0</v>
      </c>
      <c r="AL256" s="10">
        <f t="shared" si="211"/>
        <v>0</v>
      </c>
      <c r="AM256" s="10">
        <f t="shared" si="212"/>
        <v>0</v>
      </c>
      <c r="AN256" s="46">
        <f t="shared" si="213"/>
        <v>0</v>
      </c>
      <c r="AO256" s="10">
        <f t="shared" si="214"/>
        <v>0</v>
      </c>
      <c r="AP256" s="10">
        <f t="shared" si="215"/>
        <v>0</v>
      </c>
      <c r="AQ256" s="10">
        <f t="shared" si="216"/>
        <v>0</v>
      </c>
      <c r="AR256" s="10">
        <f t="shared" si="217"/>
        <v>0</v>
      </c>
      <c r="AS256" s="10">
        <f t="shared" si="218"/>
        <v>0</v>
      </c>
      <c r="AT256" s="10">
        <f t="shared" si="219"/>
        <v>0</v>
      </c>
      <c r="AU256" s="10">
        <f t="shared" si="220"/>
        <v>0</v>
      </c>
      <c r="AV256" s="10">
        <f t="shared" si="221"/>
        <v>0</v>
      </c>
      <c r="AW256" s="10">
        <f t="shared" si="222"/>
        <v>0</v>
      </c>
      <c r="AX256" s="10">
        <f t="shared" si="223"/>
        <v>0</v>
      </c>
    </row>
    <row r="257" spans="1:50" x14ac:dyDescent="0.2">
      <c r="A257" s="8">
        <v>12750</v>
      </c>
      <c r="B257" s="89" t="str">
        <f t="shared" si="175"/>
        <v>Eurobodalla</v>
      </c>
      <c r="C257" s="9" t="str">
        <f t="shared" si="176"/>
        <v>CRJO</v>
      </c>
      <c r="D257" s="51" t="str">
        <f t="shared" si="177"/>
        <v>N</v>
      </c>
      <c r="E257" s="10" t="str">
        <f t="shared" si="178"/>
        <v>CRJO</v>
      </c>
      <c r="F257" s="10">
        <f t="shared" si="179"/>
        <v>38952</v>
      </c>
      <c r="G257" s="10">
        <f t="shared" si="180"/>
        <v>24402</v>
      </c>
      <c r="H257" s="10">
        <f t="shared" si="181"/>
        <v>1.5962626014261125</v>
      </c>
      <c r="I257" s="10">
        <f t="shared" si="182"/>
        <v>3428.2</v>
      </c>
      <c r="J257" s="10">
        <f t="shared" si="183"/>
        <v>11.4</v>
      </c>
      <c r="K257" s="10">
        <f t="shared" si="184"/>
        <v>299.25</v>
      </c>
      <c r="L257" s="10" t="str">
        <f t="shared" si="185"/>
        <v>Y</v>
      </c>
      <c r="M257" s="10">
        <f t="shared" si="186"/>
        <v>24402</v>
      </c>
      <c r="N257" s="10">
        <f t="shared" si="187"/>
        <v>22891</v>
      </c>
      <c r="O257" s="10">
        <f t="shared" si="188"/>
        <v>21428</v>
      </c>
      <c r="P257" s="10">
        <f t="shared" si="189"/>
        <v>0</v>
      </c>
      <c r="Q257" s="10">
        <f t="shared" si="190"/>
        <v>24402</v>
      </c>
      <c r="R257" s="10" t="str">
        <f t="shared" si="191"/>
        <v>Yes</v>
      </c>
      <c r="S257" s="10" t="str">
        <f t="shared" si="192"/>
        <v>Surf Beach Waste Management Facility</v>
      </c>
      <c r="T257" s="10" t="str">
        <f t="shared" si="193"/>
        <v>Brou Waste Management Facility</v>
      </c>
      <c r="U257" s="10" t="str">
        <f t="shared" si="194"/>
        <v>Moruya transfer Station</v>
      </c>
      <c r="V257" s="10">
        <f t="shared" si="195"/>
        <v>0</v>
      </c>
      <c r="W257" s="10">
        <f t="shared" si="196"/>
        <v>0</v>
      </c>
      <c r="X257" s="10">
        <f t="shared" si="197"/>
        <v>0</v>
      </c>
      <c r="Y257" s="10">
        <f t="shared" si="198"/>
        <v>0</v>
      </c>
      <c r="Z257" s="10">
        <f t="shared" si="199"/>
        <v>0</v>
      </c>
      <c r="AA257" s="10">
        <f t="shared" si="200"/>
        <v>0</v>
      </c>
      <c r="AB257" s="10">
        <f t="shared" si="201"/>
        <v>0</v>
      </c>
      <c r="AC257" s="10">
        <f t="shared" si="202"/>
        <v>0</v>
      </c>
      <c r="AD257" s="10">
        <f t="shared" si="203"/>
        <v>0</v>
      </c>
      <c r="AE257" s="10">
        <f t="shared" si="204"/>
        <v>0</v>
      </c>
      <c r="AF257" s="10">
        <f t="shared" si="205"/>
        <v>0</v>
      </c>
      <c r="AG257" s="10">
        <f t="shared" si="206"/>
        <v>0</v>
      </c>
      <c r="AH257" s="10">
        <f t="shared" si="207"/>
        <v>0</v>
      </c>
      <c r="AI257" s="10">
        <f t="shared" si="208"/>
        <v>0</v>
      </c>
      <c r="AJ257" s="10">
        <f t="shared" si="209"/>
        <v>0</v>
      </c>
      <c r="AK257" s="10">
        <f t="shared" si="210"/>
        <v>0</v>
      </c>
      <c r="AL257" s="10">
        <f t="shared" si="211"/>
        <v>0</v>
      </c>
      <c r="AM257" s="10">
        <f t="shared" si="212"/>
        <v>0</v>
      </c>
      <c r="AN257" s="46">
        <f t="shared" si="213"/>
        <v>0</v>
      </c>
      <c r="AO257" s="10">
        <f t="shared" si="214"/>
        <v>0</v>
      </c>
      <c r="AP257" s="10">
        <f t="shared" si="215"/>
        <v>0</v>
      </c>
      <c r="AQ257" s="10">
        <f t="shared" si="216"/>
        <v>0</v>
      </c>
      <c r="AR257" s="10">
        <f t="shared" si="217"/>
        <v>0</v>
      </c>
      <c r="AS257" s="10">
        <f t="shared" si="218"/>
        <v>0</v>
      </c>
      <c r="AT257" s="10">
        <f t="shared" si="219"/>
        <v>0</v>
      </c>
      <c r="AU257" s="10">
        <f t="shared" si="220"/>
        <v>0</v>
      </c>
      <c r="AV257" s="10">
        <f t="shared" si="221"/>
        <v>0</v>
      </c>
      <c r="AW257" s="10">
        <f t="shared" si="222"/>
        <v>0</v>
      </c>
      <c r="AX257" s="10">
        <f t="shared" si="223"/>
        <v>0</v>
      </c>
    </row>
    <row r="258" spans="1:50" x14ac:dyDescent="0.2">
      <c r="A258" s="8">
        <v>12870</v>
      </c>
      <c r="B258" s="89" t="str">
        <f t="shared" si="175"/>
        <v>Federation</v>
      </c>
      <c r="C258" s="9" t="str">
        <f t="shared" si="176"/>
        <v>RAMJO Murray</v>
      </c>
      <c r="D258" s="51" t="str">
        <f t="shared" si="177"/>
        <v>N</v>
      </c>
      <c r="E258" s="10" t="str">
        <f t="shared" si="178"/>
        <v>RMJO</v>
      </c>
      <c r="F258" s="10">
        <f t="shared" si="179"/>
        <v>12598</v>
      </c>
      <c r="G258" s="10">
        <f t="shared" si="180"/>
        <v>9078</v>
      </c>
      <c r="H258" s="10">
        <f t="shared" si="181"/>
        <v>1.3877506058603217</v>
      </c>
      <c r="I258" s="10">
        <f t="shared" si="182"/>
        <v>5685</v>
      </c>
      <c r="J258" s="10">
        <f t="shared" si="183"/>
        <v>2.2000000000000002</v>
      </c>
      <c r="K258" s="10">
        <f t="shared" si="184"/>
        <v>340</v>
      </c>
      <c r="L258" s="10" t="str">
        <f t="shared" si="185"/>
        <v>Y</v>
      </c>
      <c r="M258" s="10">
        <f t="shared" si="186"/>
        <v>5866</v>
      </c>
      <c r="N258" s="10">
        <f t="shared" si="187"/>
        <v>5451</v>
      </c>
      <c r="O258" s="10">
        <f t="shared" si="188"/>
        <v>0</v>
      </c>
      <c r="P258" s="10">
        <f t="shared" si="189"/>
        <v>5430</v>
      </c>
      <c r="Q258" s="10">
        <f t="shared" si="190"/>
        <v>0</v>
      </c>
      <c r="R258" s="10" t="str">
        <f t="shared" si="191"/>
        <v>Yes</v>
      </c>
      <c r="S258" s="10" t="str">
        <f t="shared" si="192"/>
        <v>Corowa Waste Management Centre, Riverina Highway</v>
      </c>
      <c r="T258" s="10" t="str">
        <f t="shared" si="193"/>
        <v>Mulwala Transfer Station, Old Barooga Road</v>
      </c>
      <c r="U258" s="10" t="str">
        <f t="shared" si="194"/>
        <v>Howlong Waste Management Centre, Goombargana Rd</v>
      </c>
      <c r="V258" s="10" t="str">
        <f t="shared" si="195"/>
        <v>Urana Landfill, Boree Creek Road, Urana</v>
      </c>
      <c r="W258" s="10" t="str">
        <f t="shared" si="196"/>
        <v>Oaklands Landfill, Maxwelton Road, Oaklands</v>
      </c>
      <c r="X258" s="10" t="str">
        <f t="shared" si="197"/>
        <v>Community Recycling Centre - Corowa Depot</v>
      </c>
      <c r="Y258" s="10" t="str">
        <f t="shared" si="198"/>
        <v>Community Recycling Centre - Urana Waste Disposal</v>
      </c>
      <c r="Z258" s="10">
        <f t="shared" si="199"/>
        <v>0</v>
      </c>
      <c r="AA258" s="10">
        <f t="shared" si="200"/>
        <v>0</v>
      </c>
      <c r="AB258" s="10">
        <f t="shared" si="201"/>
        <v>0</v>
      </c>
      <c r="AC258" s="10">
        <f t="shared" si="202"/>
        <v>0</v>
      </c>
      <c r="AD258" s="10">
        <f t="shared" si="203"/>
        <v>0</v>
      </c>
      <c r="AE258" s="10">
        <f t="shared" si="204"/>
        <v>0</v>
      </c>
      <c r="AF258" s="10">
        <f t="shared" si="205"/>
        <v>0</v>
      </c>
      <c r="AG258" s="10">
        <f t="shared" si="206"/>
        <v>0</v>
      </c>
      <c r="AH258" s="10">
        <f t="shared" si="207"/>
        <v>0</v>
      </c>
      <c r="AI258" s="10">
        <f t="shared" si="208"/>
        <v>0</v>
      </c>
      <c r="AJ258" s="10">
        <f t="shared" si="209"/>
        <v>0</v>
      </c>
      <c r="AK258" s="10">
        <f t="shared" si="210"/>
        <v>0</v>
      </c>
      <c r="AL258" s="10">
        <f t="shared" si="211"/>
        <v>0</v>
      </c>
      <c r="AM258" s="10">
        <f t="shared" si="212"/>
        <v>0</v>
      </c>
      <c r="AN258" s="46">
        <f t="shared" si="213"/>
        <v>0</v>
      </c>
      <c r="AO258" s="10">
        <f t="shared" si="214"/>
        <v>0</v>
      </c>
      <c r="AP258" s="10">
        <f t="shared" si="215"/>
        <v>0</v>
      </c>
      <c r="AQ258" s="10">
        <f t="shared" si="216"/>
        <v>0</v>
      </c>
      <c r="AR258" s="10">
        <f t="shared" si="217"/>
        <v>0</v>
      </c>
      <c r="AS258" s="10">
        <f t="shared" si="218"/>
        <v>0</v>
      </c>
      <c r="AT258" s="10">
        <f t="shared" si="219"/>
        <v>0</v>
      </c>
      <c r="AU258" s="10">
        <f t="shared" si="220"/>
        <v>0</v>
      </c>
      <c r="AV258" s="10">
        <f t="shared" si="221"/>
        <v>0</v>
      </c>
      <c r="AW258" s="10">
        <f t="shared" si="222"/>
        <v>0</v>
      </c>
      <c r="AX258" s="10">
        <f t="shared" si="223"/>
        <v>0</v>
      </c>
    </row>
    <row r="259" spans="1:50" x14ac:dyDescent="0.2">
      <c r="A259" s="8">
        <v>12900</v>
      </c>
      <c r="B259" s="89" t="str">
        <f t="shared" si="175"/>
        <v>Forbes</v>
      </c>
      <c r="C259" s="9" t="str">
        <f t="shared" si="176"/>
        <v>NetWaste</v>
      </c>
      <c r="D259" s="51" t="str">
        <f t="shared" si="177"/>
        <v>N</v>
      </c>
      <c r="E259" s="10" t="str">
        <f t="shared" si="178"/>
        <v>CNJO</v>
      </c>
      <c r="F259" s="10">
        <f t="shared" si="179"/>
        <v>9920</v>
      </c>
      <c r="G259" s="10">
        <f t="shared" si="180"/>
        <v>4248</v>
      </c>
      <c r="H259" s="10">
        <f t="shared" si="181"/>
        <v>2.335216572504708</v>
      </c>
      <c r="I259" s="10">
        <f t="shared" si="182"/>
        <v>4710.1000000000004</v>
      </c>
      <c r="J259" s="10">
        <f t="shared" si="183"/>
        <v>2.1</v>
      </c>
      <c r="K259" s="10">
        <f t="shared" si="184"/>
        <v>534</v>
      </c>
      <c r="L259" s="10" t="str">
        <f t="shared" si="185"/>
        <v>Y</v>
      </c>
      <c r="M259" s="10">
        <f t="shared" si="186"/>
        <v>3353</v>
      </c>
      <c r="N259" s="10">
        <f t="shared" si="187"/>
        <v>3254</v>
      </c>
      <c r="O259" s="10">
        <f t="shared" si="188"/>
        <v>0</v>
      </c>
      <c r="P259" s="10">
        <f t="shared" si="189"/>
        <v>3295</v>
      </c>
      <c r="Q259" s="10">
        <f t="shared" si="190"/>
        <v>4248</v>
      </c>
      <c r="R259" s="10" t="str">
        <f t="shared" si="191"/>
        <v>Yes</v>
      </c>
      <c r="S259" s="10" t="str">
        <f t="shared" si="192"/>
        <v>Daroobalgie Waste Management Facility</v>
      </c>
      <c r="T259" s="10" t="str">
        <f t="shared" si="193"/>
        <v>Bedgerabong Landfill</v>
      </c>
      <c r="U259" s="10" t="str">
        <f t="shared" si="194"/>
        <v>Garema Landfill</v>
      </c>
      <c r="V259" s="10" t="str">
        <f t="shared" si="195"/>
        <v>Ootha Landfill</v>
      </c>
      <c r="W259" s="10">
        <f t="shared" si="196"/>
        <v>0</v>
      </c>
      <c r="X259" s="10">
        <f t="shared" si="197"/>
        <v>0</v>
      </c>
      <c r="Y259" s="10">
        <f t="shared" si="198"/>
        <v>0</v>
      </c>
      <c r="Z259" s="10">
        <f t="shared" si="199"/>
        <v>0</v>
      </c>
      <c r="AA259" s="10">
        <f t="shared" si="200"/>
        <v>0</v>
      </c>
      <c r="AB259" s="10">
        <f t="shared" si="201"/>
        <v>0</v>
      </c>
      <c r="AC259" s="10">
        <f t="shared" si="202"/>
        <v>0</v>
      </c>
      <c r="AD259" s="10">
        <f t="shared" si="203"/>
        <v>0</v>
      </c>
      <c r="AE259" s="10">
        <f t="shared" si="204"/>
        <v>0</v>
      </c>
      <c r="AF259" s="10">
        <f t="shared" si="205"/>
        <v>0</v>
      </c>
      <c r="AG259" s="10">
        <f t="shared" si="206"/>
        <v>0</v>
      </c>
      <c r="AH259" s="10">
        <f t="shared" si="207"/>
        <v>0</v>
      </c>
      <c r="AI259" s="10">
        <f t="shared" si="208"/>
        <v>0</v>
      </c>
      <c r="AJ259" s="10">
        <f t="shared" si="209"/>
        <v>0</v>
      </c>
      <c r="AK259" s="10">
        <f t="shared" si="210"/>
        <v>0</v>
      </c>
      <c r="AL259" s="10">
        <f t="shared" si="211"/>
        <v>0</v>
      </c>
      <c r="AM259" s="10">
        <f t="shared" si="212"/>
        <v>0</v>
      </c>
      <c r="AN259" s="46">
        <f t="shared" si="213"/>
        <v>0</v>
      </c>
      <c r="AO259" s="10">
        <f t="shared" si="214"/>
        <v>0</v>
      </c>
      <c r="AP259" s="10">
        <f t="shared" si="215"/>
        <v>0</v>
      </c>
      <c r="AQ259" s="10">
        <f t="shared" si="216"/>
        <v>0</v>
      </c>
      <c r="AR259" s="10">
        <f t="shared" si="217"/>
        <v>0</v>
      </c>
      <c r="AS259" s="10">
        <f t="shared" si="218"/>
        <v>0</v>
      </c>
      <c r="AT259" s="10">
        <f t="shared" si="219"/>
        <v>0</v>
      </c>
      <c r="AU259" s="10">
        <f t="shared" si="220"/>
        <v>0</v>
      </c>
      <c r="AV259" s="10">
        <f t="shared" si="221"/>
        <v>0</v>
      </c>
      <c r="AW259" s="10">
        <f t="shared" si="222"/>
        <v>0</v>
      </c>
      <c r="AX259" s="10">
        <f t="shared" si="223"/>
        <v>0</v>
      </c>
    </row>
    <row r="260" spans="1:50" x14ac:dyDescent="0.2">
      <c r="A260" s="8">
        <v>12950</v>
      </c>
      <c r="B260" s="89" t="str">
        <f t="shared" si="175"/>
        <v>Gilgandra</v>
      </c>
      <c r="C260" s="9" t="str">
        <f t="shared" si="176"/>
        <v>NetWaste</v>
      </c>
      <c r="D260" s="51" t="str">
        <f t="shared" si="177"/>
        <v>N</v>
      </c>
      <c r="E260" s="10" t="str">
        <f t="shared" si="178"/>
        <v>OJO</v>
      </c>
      <c r="F260" s="10">
        <f t="shared" si="179"/>
        <v>4229</v>
      </c>
      <c r="G260" s="10">
        <f t="shared" si="180"/>
        <v>2415</v>
      </c>
      <c r="H260" s="10">
        <f t="shared" si="181"/>
        <v>1.7511387163561076</v>
      </c>
      <c r="I260" s="10">
        <f t="shared" si="182"/>
        <v>4831.5</v>
      </c>
      <c r="J260" s="10">
        <f t="shared" si="183"/>
        <v>0.9</v>
      </c>
      <c r="K260" s="10">
        <f t="shared" si="184"/>
        <v>441</v>
      </c>
      <c r="L260" s="10" t="str">
        <f t="shared" si="185"/>
        <v>Y</v>
      </c>
      <c r="M260" s="10">
        <f t="shared" si="186"/>
        <v>1124</v>
      </c>
      <c r="N260" s="10">
        <f t="shared" si="187"/>
        <v>1144</v>
      </c>
      <c r="O260" s="10">
        <f t="shared" si="188"/>
        <v>0</v>
      </c>
      <c r="P260" s="10">
        <f t="shared" si="189"/>
        <v>0</v>
      </c>
      <c r="Q260" s="10">
        <f t="shared" si="190"/>
        <v>0</v>
      </c>
      <c r="R260" s="10" t="str">
        <f t="shared" si="191"/>
        <v>Yes</v>
      </c>
      <c r="S260" s="10" t="str">
        <f t="shared" si="192"/>
        <v>Gilgandra Community Recycling Centre Lot 100 Pines Drive Gilgandra NSW 2827</v>
      </c>
      <c r="T260" s="10">
        <f t="shared" si="193"/>
        <v>0</v>
      </c>
      <c r="U260" s="10">
        <f t="shared" si="194"/>
        <v>0</v>
      </c>
      <c r="V260" s="10">
        <f t="shared" si="195"/>
        <v>0</v>
      </c>
      <c r="W260" s="10">
        <f t="shared" si="196"/>
        <v>0</v>
      </c>
      <c r="X260" s="10">
        <f t="shared" si="197"/>
        <v>0</v>
      </c>
      <c r="Y260" s="10">
        <f t="shared" si="198"/>
        <v>0</v>
      </c>
      <c r="Z260" s="10">
        <f t="shared" si="199"/>
        <v>0</v>
      </c>
      <c r="AA260" s="10">
        <f t="shared" si="200"/>
        <v>0</v>
      </c>
      <c r="AB260" s="10">
        <f t="shared" si="201"/>
        <v>0</v>
      </c>
      <c r="AC260" s="10">
        <f t="shared" si="202"/>
        <v>0</v>
      </c>
      <c r="AD260" s="10">
        <f t="shared" si="203"/>
        <v>0</v>
      </c>
      <c r="AE260" s="10">
        <f t="shared" si="204"/>
        <v>0</v>
      </c>
      <c r="AF260" s="10">
        <f t="shared" si="205"/>
        <v>0</v>
      </c>
      <c r="AG260" s="10">
        <f t="shared" si="206"/>
        <v>0</v>
      </c>
      <c r="AH260" s="10">
        <f t="shared" si="207"/>
        <v>0</v>
      </c>
      <c r="AI260" s="10">
        <f t="shared" si="208"/>
        <v>0</v>
      </c>
      <c r="AJ260" s="10">
        <f t="shared" si="209"/>
        <v>0</v>
      </c>
      <c r="AK260" s="10">
        <f t="shared" si="210"/>
        <v>0</v>
      </c>
      <c r="AL260" s="10">
        <f t="shared" si="211"/>
        <v>0</v>
      </c>
      <c r="AM260" s="10">
        <f t="shared" si="212"/>
        <v>0</v>
      </c>
      <c r="AN260" s="46">
        <f t="shared" si="213"/>
        <v>0</v>
      </c>
      <c r="AO260" s="10">
        <f t="shared" si="214"/>
        <v>0</v>
      </c>
      <c r="AP260" s="10">
        <f t="shared" si="215"/>
        <v>0</v>
      </c>
      <c r="AQ260" s="10">
        <f t="shared" si="216"/>
        <v>0</v>
      </c>
      <c r="AR260" s="10">
        <f t="shared" si="217"/>
        <v>0</v>
      </c>
      <c r="AS260" s="10">
        <f t="shared" si="218"/>
        <v>0</v>
      </c>
      <c r="AT260" s="10">
        <f t="shared" si="219"/>
        <v>0</v>
      </c>
      <c r="AU260" s="10">
        <f t="shared" si="220"/>
        <v>0</v>
      </c>
      <c r="AV260" s="10">
        <f t="shared" si="221"/>
        <v>0</v>
      </c>
      <c r="AW260" s="10">
        <f t="shared" si="222"/>
        <v>0</v>
      </c>
      <c r="AX260" s="10">
        <f t="shared" si="223"/>
        <v>0</v>
      </c>
    </row>
    <row r="261" spans="1:50" x14ac:dyDescent="0.2">
      <c r="A261" s="8">
        <v>13010</v>
      </c>
      <c r="B261" s="89" t="str">
        <f t="shared" si="175"/>
        <v>Glen Innes Severn</v>
      </c>
      <c r="C261" s="9" t="str">
        <f t="shared" si="176"/>
        <v>NIRW</v>
      </c>
      <c r="D261" s="51" t="str">
        <f t="shared" si="177"/>
        <v>N</v>
      </c>
      <c r="E261" s="10" t="str">
        <f t="shared" si="178"/>
        <v>NEJO</v>
      </c>
      <c r="F261" s="10">
        <f t="shared" si="179"/>
        <v>8873</v>
      </c>
      <c r="G261" s="10">
        <f t="shared" si="180"/>
        <v>5428</v>
      </c>
      <c r="H261" s="10">
        <f t="shared" si="181"/>
        <v>1.6346720707442888</v>
      </c>
      <c r="I261" s="10">
        <f t="shared" si="182"/>
        <v>5480</v>
      </c>
      <c r="J261" s="10">
        <f t="shared" si="183"/>
        <v>1.6</v>
      </c>
      <c r="K261" s="10">
        <f t="shared" si="184"/>
        <v>325</v>
      </c>
      <c r="L261" s="10" t="str">
        <f t="shared" si="185"/>
        <v>Y</v>
      </c>
      <c r="M261" s="10">
        <f t="shared" si="186"/>
        <v>3774</v>
      </c>
      <c r="N261" s="10">
        <f t="shared" si="187"/>
        <v>2804</v>
      </c>
      <c r="O261" s="10">
        <f t="shared" si="188"/>
        <v>0</v>
      </c>
      <c r="P261" s="10">
        <f t="shared" si="189"/>
        <v>0</v>
      </c>
      <c r="Q261" s="10">
        <f t="shared" si="190"/>
        <v>0</v>
      </c>
      <c r="R261" s="10" t="str">
        <f t="shared" si="191"/>
        <v>Yes</v>
      </c>
      <c r="S261" s="10">
        <f t="shared" si="192"/>
        <v>0</v>
      </c>
      <c r="T261" s="10">
        <f t="shared" si="193"/>
        <v>0</v>
      </c>
      <c r="U261" s="10">
        <f t="shared" si="194"/>
        <v>0</v>
      </c>
      <c r="V261" s="10">
        <f t="shared" si="195"/>
        <v>0</v>
      </c>
      <c r="W261" s="10">
        <f t="shared" si="196"/>
        <v>0</v>
      </c>
      <c r="X261" s="10">
        <f t="shared" si="197"/>
        <v>0</v>
      </c>
      <c r="Y261" s="10">
        <f t="shared" si="198"/>
        <v>0</v>
      </c>
      <c r="Z261" s="10">
        <f t="shared" si="199"/>
        <v>0</v>
      </c>
      <c r="AA261" s="10">
        <f t="shared" si="200"/>
        <v>0</v>
      </c>
      <c r="AB261" s="10">
        <f t="shared" si="201"/>
        <v>0</v>
      </c>
      <c r="AC261" s="10">
        <f t="shared" si="202"/>
        <v>0</v>
      </c>
      <c r="AD261" s="10">
        <f t="shared" si="203"/>
        <v>0</v>
      </c>
      <c r="AE261" s="10">
        <f t="shared" si="204"/>
        <v>0</v>
      </c>
      <c r="AF261" s="10">
        <f t="shared" si="205"/>
        <v>0</v>
      </c>
      <c r="AG261" s="10">
        <f t="shared" si="206"/>
        <v>0</v>
      </c>
      <c r="AH261" s="10">
        <f t="shared" si="207"/>
        <v>0</v>
      </c>
      <c r="AI261" s="10">
        <f t="shared" si="208"/>
        <v>0</v>
      </c>
      <c r="AJ261" s="10">
        <f t="shared" si="209"/>
        <v>0</v>
      </c>
      <c r="AK261" s="10">
        <f t="shared" si="210"/>
        <v>0</v>
      </c>
      <c r="AL261" s="10">
        <f t="shared" si="211"/>
        <v>0</v>
      </c>
      <c r="AM261" s="10">
        <f t="shared" si="212"/>
        <v>0</v>
      </c>
      <c r="AN261" s="46">
        <f t="shared" si="213"/>
        <v>0</v>
      </c>
      <c r="AO261" s="10">
        <f t="shared" si="214"/>
        <v>0</v>
      </c>
      <c r="AP261" s="10">
        <f t="shared" si="215"/>
        <v>0</v>
      </c>
      <c r="AQ261" s="10">
        <f t="shared" si="216"/>
        <v>0</v>
      </c>
      <c r="AR261" s="10">
        <f t="shared" si="217"/>
        <v>0</v>
      </c>
      <c r="AS261" s="10">
        <f t="shared" si="218"/>
        <v>0</v>
      </c>
      <c r="AT261" s="10">
        <f t="shared" si="219"/>
        <v>0</v>
      </c>
      <c r="AU261" s="10">
        <f t="shared" si="220"/>
        <v>0</v>
      </c>
      <c r="AV261" s="10">
        <f t="shared" si="221"/>
        <v>0</v>
      </c>
      <c r="AW261" s="10">
        <f t="shared" si="222"/>
        <v>0</v>
      </c>
      <c r="AX261" s="10">
        <f t="shared" si="223"/>
        <v>0</v>
      </c>
    </row>
    <row r="262" spans="1:50" x14ac:dyDescent="0.2">
      <c r="A262" s="8">
        <v>13310</v>
      </c>
      <c r="B262" s="89" t="str">
        <f t="shared" si="175"/>
        <v>Goulburn Mulwaree</v>
      </c>
      <c r="C262" s="9" t="str">
        <f t="shared" si="176"/>
        <v>CRJO</v>
      </c>
      <c r="D262" s="51" t="str">
        <f t="shared" si="177"/>
        <v>N</v>
      </c>
      <c r="E262" s="10" t="str">
        <f t="shared" si="178"/>
        <v>CRJO</v>
      </c>
      <c r="F262" s="10">
        <f t="shared" si="179"/>
        <v>31554</v>
      </c>
      <c r="G262" s="10">
        <f t="shared" si="180"/>
        <v>16761</v>
      </c>
      <c r="H262" s="10">
        <f t="shared" si="181"/>
        <v>1.8825845713262932</v>
      </c>
      <c r="I262" s="10">
        <f t="shared" si="182"/>
        <v>3220.1</v>
      </c>
      <c r="J262" s="10">
        <f t="shared" si="183"/>
        <v>9.8000000000000007</v>
      </c>
      <c r="K262" s="10">
        <f t="shared" si="184"/>
        <v>381</v>
      </c>
      <c r="L262" s="10" t="str">
        <f t="shared" si="185"/>
        <v>Y</v>
      </c>
      <c r="M262" s="10">
        <f t="shared" si="186"/>
        <v>10400</v>
      </c>
      <c r="N262" s="10">
        <f t="shared" si="187"/>
        <v>10390</v>
      </c>
      <c r="O262" s="10">
        <f t="shared" si="188"/>
        <v>0</v>
      </c>
      <c r="P262" s="10">
        <f t="shared" si="189"/>
        <v>10390</v>
      </c>
      <c r="Q262" s="10">
        <f t="shared" si="190"/>
        <v>16761</v>
      </c>
      <c r="R262" s="10" t="str">
        <f t="shared" si="191"/>
        <v>Yes</v>
      </c>
      <c r="S262" s="10" t="str">
        <f t="shared" si="192"/>
        <v>Goulburn Waste Management Centre, 100 Sinclair St Goulburn</v>
      </c>
      <c r="T262" s="10" t="str">
        <f t="shared" si="193"/>
        <v>Marulan Waste Management Centre, Wilson Dr Marulan</v>
      </c>
      <c r="U262" s="10" t="str">
        <f t="shared" si="194"/>
        <v>Tarago Waste Management Centre, Lumley Rd Tarago</v>
      </c>
      <c r="V262" s="10">
        <f t="shared" si="195"/>
        <v>0</v>
      </c>
      <c r="W262" s="10">
        <f t="shared" si="196"/>
        <v>0</v>
      </c>
      <c r="X262" s="10">
        <f t="shared" si="197"/>
        <v>0</v>
      </c>
      <c r="Y262" s="10">
        <f t="shared" si="198"/>
        <v>0</v>
      </c>
      <c r="Z262" s="10">
        <f t="shared" si="199"/>
        <v>0</v>
      </c>
      <c r="AA262" s="10">
        <f t="shared" si="200"/>
        <v>0</v>
      </c>
      <c r="AB262" s="10">
        <f t="shared" si="201"/>
        <v>0</v>
      </c>
      <c r="AC262" s="10">
        <f t="shared" si="202"/>
        <v>0</v>
      </c>
      <c r="AD262" s="10">
        <f t="shared" si="203"/>
        <v>0</v>
      </c>
      <c r="AE262" s="10">
        <f t="shared" si="204"/>
        <v>0</v>
      </c>
      <c r="AF262" s="10">
        <f t="shared" si="205"/>
        <v>0</v>
      </c>
      <c r="AG262" s="10">
        <f t="shared" si="206"/>
        <v>0</v>
      </c>
      <c r="AH262" s="10">
        <f t="shared" si="207"/>
        <v>0</v>
      </c>
      <c r="AI262" s="10">
        <f t="shared" si="208"/>
        <v>0</v>
      </c>
      <c r="AJ262" s="10">
        <f t="shared" si="209"/>
        <v>0</v>
      </c>
      <c r="AK262" s="10">
        <f t="shared" si="210"/>
        <v>0</v>
      </c>
      <c r="AL262" s="10">
        <f t="shared" si="211"/>
        <v>0</v>
      </c>
      <c r="AM262" s="10">
        <f t="shared" si="212"/>
        <v>0</v>
      </c>
      <c r="AN262" s="46">
        <f t="shared" si="213"/>
        <v>0</v>
      </c>
      <c r="AO262" s="10">
        <f t="shared" si="214"/>
        <v>0</v>
      </c>
      <c r="AP262" s="10">
        <f t="shared" si="215"/>
        <v>0</v>
      </c>
      <c r="AQ262" s="10">
        <f t="shared" si="216"/>
        <v>0</v>
      </c>
      <c r="AR262" s="10">
        <f t="shared" si="217"/>
        <v>0</v>
      </c>
      <c r="AS262" s="10">
        <f t="shared" si="218"/>
        <v>0</v>
      </c>
      <c r="AT262" s="10">
        <f t="shared" si="219"/>
        <v>0</v>
      </c>
      <c r="AU262" s="10">
        <f t="shared" si="220"/>
        <v>0</v>
      </c>
      <c r="AV262" s="10">
        <f t="shared" si="221"/>
        <v>0</v>
      </c>
      <c r="AW262" s="10">
        <f t="shared" si="222"/>
        <v>0</v>
      </c>
      <c r="AX262" s="10">
        <f t="shared" si="223"/>
        <v>0</v>
      </c>
    </row>
    <row r="263" spans="1:50" x14ac:dyDescent="0.2">
      <c r="A263" s="8">
        <v>13340</v>
      </c>
      <c r="B263" s="89" t="str">
        <f t="shared" si="175"/>
        <v>Greater Hume Shire</v>
      </c>
      <c r="C263" s="9" t="str">
        <f t="shared" si="176"/>
        <v>REROC</v>
      </c>
      <c r="D263" s="51" t="str">
        <f t="shared" si="177"/>
        <v>N</v>
      </c>
      <c r="E263" s="10" t="str">
        <f t="shared" si="178"/>
        <v>RJO</v>
      </c>
      <c r="F263" s="10">
        <f t="shared" si="179"/>
        <v>10841</v>
      </c>
      <c r="G263" s="10">
        <f t="shared" si="180"/>
        <v>6690</v>
      </c>
      <c r="H263" s="10">
        <f t="shared" si="181"/>
        <v>1.6204783258594917</v>
      </c>
      <c r="I263" s="10">
        <f t="shared" si="182"/>
        <v>5749.5</v>
      </c>
      <c r="J263" s="10">
        <f t="shared" si="183"/>
        <v>1.9</v>
      </c>
      <c r="K263" s="10">
        <f t="shared" si="184"/>
        <v>272</v>
      </c>
      <c r="L263" s="10" t="str">
        <f t="shared" si="185"/>
        <v>Y</v>
      </c>
      <c r="M263" s="10">
        <f t="shared" si="186"/>
        <v>3854</v>
      </c>
      <c r="N263" s="10">
        <f t="shared" si="187"/>
        <v>3724</v>
      </c>
      <c r="O263" s="10">
        <f t="shared" si="188"/>
        <v>0</v>
      </c>
      <c r="P263" s="10">
        <f t="shared" si="189"/>
        <v>0</v>
      </c>
      <c r="Q263" s="10">
        <f t="shared" si="190"/>
        <v>0</v>
      </c>
      <c r="R263" s="10" t="str">
        <f t="shared" si="191"/>
        <v>Yes</v>
      </c>
      <c r="S263" s="10" t="str">
        <f t="shared" si="192"/>
        <v>Culcairn landfill</v>
      </c>
      <c r="T263" s="10" t="str">
        <f t="shared" si="193"/>
        <v>Brocklesby Transfer Station</v>
      </c>
      <c r="U263" s="10" t="str">
        <f t="shared" si="194"/>
        <v>Gerogery transfer Station</v>
      </c>
      <c r="V263" s="10" t="str">
        <f t="shared" si="195"/>
        <v>Burrumbuttock Transfer Station</v>
      </c>
      <c r="W263" s="10" t="str">
        <f t="shared" si="196"/>
        <v>Jindera  Transfer Station</v>
      </c>
      <c r="X263" s="10" t="str">
        <f t="shared" si="197"/>
        <v>Holbrook</v>
      </c>
      <c r="Y263" s="10" t="str">
        <f t="shared" si="198"/>
        <v>Henty  Transfer Station</v>
      </c>
      <c r="Z263" s="10">
        <f t="shared" si="199"/>
        <v>0</v>
      </c>
      <c r="AA263" s="10">
        <f t="shared" si="200"/>
        <v>0</v>
      </c>
      <c r="AB263" s="10">
        <f t="shared" si="201"/>
        <v>0</v>
      </c>
      <c r="AC263" s="10">
        <f t="shared" si="202"/>
        <v>0</v>
      </c>
      <c r="AD263" s="10">
        <f t="shared" si="203"/>
        <v>0</v>
      </c>
      <c r="AE263" s="10">
        <f t="shared" si="204"/>
        <v>0</v>
      </c>
      <c r="AF263" s="10">
        <f t="shared" si="205"/>
        <v>0</v>
      </c>
      <c r="AG263" s="10">
        <f t="shared" si="206"/>
        <v>0</v>
      </c>
      <c r="AH263" s="10">
        <f t="shared" si="207"/>
        <v>0</v>
      </c>
      <c r="AI263" s="10">
        <f t="shared" si="208"/>
        <v>0</v>
      </c>
      <c r="AJ263" s="10">
        <f t="shared" si="209"/>
        <v>0</v>
      </c>
      <c r="AK263" s="10">
        <f t="shared" si="210"/>
        <v>0</v>
      </c>
      <c r="AL263" s="10">
        <f t="shared" si="211"/>
        <v>0</v>
      </c>
      <c r="AM263" s="10">
        <f t="shared" si="212"/>
        <v>0</v>
      </c>
      <c r="AN263" s="46">
        <f t="shared" si="213"/>
        <v>0</v>
      </c>
      <c r="AO263" s="10">
        <f t="shared" si="214"/>
        <v>0</v>
      </c>
      <c r="AP263" s="10">
        <f t="shared" si="215"/>
        <v>0</v>
      </c>
      <c r="AQ263" s="10">
        <f t="shared" si="216"/>
        <v>0</v>
      </c>
      <c r="AR263" s="10">
        <f t="shared" si="217"/>
        <v>0</v>
      </c>
      <c r="AS263" s="10">
        <f t="shared" si="218"/>
        <v>0</v>
      </c>
      <c r="AT263" s="10">
        <f t="shared" si="219"/>
        <v>0</v>
      </c>
      <c r="AU263" s="10">
        <f t="shared" si="220"/>
        <v>0</v>
      </c>
      <c r="AV263" s="10">
        <f t="shared" si="221"/>
        <v>0</v>
      </c>
      <c r="AW263" s="10">
        <f t="shared" si="222"/>
        <v>0</v>
      </c>
      <c r="AX263" s="10">
        <f t="shared" si="223"/>
        <v>0</v>
      </c>
    </row>
    <row r="264" spans="1:50" x14ac:dyDescent="0.2">
      <c r="A264" s="8">
        <v>13450</v>
      </c>
      <c r="B264" s="89" t="str">
        <f t="shared" si="175"/>
        <v>Griffith</v>
      </c>
      <c r="C264" s="9" t="str">
        <f t="shared" si="176"/>
        <v>RAMJO Riverina</v>
      </c>
      <c r="D264" s="51" t="str">
        <f t="shared" si="177"/>
        <v>N</v>
      </c>
      <c r="E264" s="10" t="str">
        <f t="shared" si="178"/>
        <v>RMJO</v>
      </c>
      <c r="F264" s="10">
        <f t="shared" si="179"/>
        <v>27155</v>
      </c>
      <c r="G264" s="10">
        <f t="shared" si="180"/>
        <v>13653</v>
      </c>
      <c r="H264" s="10">
        <f t="shared" si="181"/>
        <v>1.988940159671867</v>
      </c>
      <c r="I264" s="10">
        <f t="shared" si="182"/>
        <v>1639.2</v>
      </c>
      <c r="J264" s="10">
        <f t="shared" si="183"/>
        <v>16.600000000000001</v>
      </c>
      <c r="K264" s="10">
        <f t="shared" si="184"/>
        <v>315</v>
      </c>
      <c r="L264" s="10" t="str">
        <f t="shared" si="185"/>
        <v>Y</v>
      </c>
      <c r="M264" s="10">
        <f t="shared" si="186"/>
        <v>8594</v>
      </c>
      <c r="N264" s="10">
        <f t="shared" si="187"/>
        <v>8147</v>
      </c>
      <c r="O264" s="10">
        <f t="shared" si="188"/>
        <v>0</v>
      </c>
      <c r="P264" s="10">
        <f t="shared" si="189"/>
        <v>0</v>
      </c>
      <c r="Q264" s="10">
        <f t="shared" si="190"/>
        <v>0</v>
      </c>
      <c r="R264" s="10" t="str">
        <f t="shared" si="191"/>
        <v>Yes</v>
      </c>
      <c r="S264" s="10" t="str">
        <f t="shared" si="192"/>
        <v>Tharbogang Waste Transfer Station</v>
      </c>
      <c r="T264" s="10" t="str">
        <f t="shared" si="193"/>
        <v>Yenda Waste Transfer Station</v>
      </c>
      <c r="U264" s="10">
        <f t="shared" si="194"/>
        <v>0</v>
      </c>
      <c r="V264" s="10">
        <f t="shared" si="195"/>
        <v>0</v>
      </c>
      <c r="W264" s="10">
        <f t="shared" si="196"/>
        <v>0</v>
      </c>
      <c r="X264" s="10">
        <f t="shared" si="197"/>
        <v>0</v>
      </c>
      <c r="Y264" s="10">
        <f t="shared" si="198"/>
        <v>0</v>
      </c>
      <c r="Z264" s="10">
        <f t="shared" si="199"/>
        <v>0</v>
      </c>
      <c r="AA264" s="10">
        <f t="shared" si="200"/>
        <v>0</v>
      </c>
      <c r="AB264" s="10">
        <f t="shared" si="201"/>
        <v>0</v>
      </c>
      <c r="AC264" s="10">
        <f t="shared" si="202"/>
        <v>0</v>
      </c>
      <c r="AD264" s="10">
        <f t="shared" si="203"/>
        <v>0</v>
      </c>
      <c r="AE264" s="10">
        <f t="shared" si="204"/>
        <v>0</v>
      </c>
      <c r="AF264" s="10">
        <f t="shared" si="205"/>
        <v>0</v>
      </c>
      <c r="AG264" s="10">
        <f t="shared" si="206"/>
        <v>0</v>
      </c>
      <c r="AH264" s="10">
        <f t="shared" si="207"/>
        <v>0</v>
      </c>
      <c r="AI264" s="10">
        <f t="shared" si="208"/>
        <v>0</v>
      </c>
      <c r="AJ264" s="10">
        <f t="shared" si="209"/>
        <v>0</v>
      </c>
      <c r="AK264" s="10">
        <f t="shared" si="210"/>
        <v>0</v>
      </c>
      <c r="AL264" s="10">
        <f t="shared" si="211"/>
        <v>0</v>
      </c>
      <c r="AM264" s="10">
        <f t="shared" si="212"/>
        <v>0</v>
      </c>
      <c r="AN264" s="46">
        <f t="shared" si="213"/>
        <v>0</v>
      </c>
      <c r="AO264" s="10">
        <f t="shared" si="214"/>
        <v>0</v>
      </c>
      <c r="AP264" s="10">
        <f t="shared" si="215"/>
        <v>0</v>
      </c>
      <c r="AQ264" s="10">
        <f t="shared" si="216"/>
        <v>0</v>
      </c>
      <c r="AR264" s="10">
        <f t="shared" si="217"/>
        <v>0</v>
      </c>
      <c r="AS264" s="10">
        <f t="shared" si="218"/>
        <v>0</v>
      </c>
      <c r="AT264" s="10">
        <f t="shared" si="219"/>
        <v>0</v>
      </c>
      <c r="AU264" s="10">
        <f t="shared" si="220"/>
        <v>0</v>
      </c>
      <c r="AV264" s="10">
        <f t="shared" si="221"/>
        <v>0</v>
      </c>
      <c r="AW264" s="10">
        <f t="shared" si="222"/>
        <v>0</v>
      </c>
      <c r="AX264" s="10">
        <f t="shared" si="223"/>
        <v>0</v>
      </c>
    </row>
    <row r="265" spans="1:50" x14ac:dyDescent="0.2">
      <c r="A265" s="8">
        <v>13550</v>
      </c>
      <c r="B265" s="89" t="str">
        <f t="shared" si="175"/>
        <v>Gunnedah</v>
      </c>
      <c r="C265" s="9" t="str">
        <f t="shared" si="176"/>
        <v>NIRW</v>
      </c>
      <c r="D265" s="51" t="str">
        <f t="shared" si="177"/>
        <v>N</v>
      </c>
      <c r="E265" s="10" t="str">
        <f t="shared" si="178"/>
        <v>NJO</v>
      </c>
      <c r="F265" s="10">
        <f t="shared" si="179"/>
        <v>12690</v>
      </c>
      <c r="G265" s="10">
        <f t="shared" si="180"/>
        <v>4804</v>
      </c>
      <c r="H265" s="10">
        <f t="shared" si="181"/>
        <v>2.6415487094088261</v>
      </c>
      <c r="I265" s="10">
        <f t="shared" si="182"/>
        <v>4987</v>
      </c>
      <c r="J265" s="10">
        <f t="shared" si="183"/>
        <v>2.5</v>
      </c>
      <c r="K265" s="10">
        <f t="shared" si="184"/>
        <v>425</v>
      </c>
      <c r="L265" s="10" t="str">
        <f t="shared" si="185"/>
        <v>Y</v>
      </c>
      <c r="M265" s="10">
        <f t="shared" si="186"/>
        <v>4487</v>
      </c>
      <c r="N265" s="10">
        <f t="shared" si="187"/>
        <v>4456</v>
      </c>
      <c r="O265" s="10">
        <f t="shared" si="188"/>
        <v>3494</v>
      </c>
      <c r="P265" s="10">
        <f t="shared" si="189"/>
        <v>0</v>
      </c>
      <c r="Q265" s="10">
        <f t="shared" si="190"/>
        <v>0</v>
      </c>
      <c r="R265" s="10" t="str">
        <f t="shared" si="191"/>
        <v>Yes</v>
      </c>
      <c r="S265" s="10" t="str">
        <f t="shared" si="192"/>
        <v>Gunnedah</v>
      </c>
      <c r="T265" s="10" t="str">
        <f t="shared" si="193"/>
        <v>Curlewis</v>
      </c>
      <c r="U265" s="10" t="str">
        <f t="shared" si="194"/>
        <v>Carroll</v>
      </c>
      <c r="V265" s="10" t="str">
        <f t="shared" si="195"/>
        <v>Mulllaley</v>
      </c>
      <c r="W265" s="10" t="str">
        <f t="shared" si="196"/>
        <v>Tambar Springs</v>
      </c>
      <c r="X265" s="10">
        <f t="shared" si="197"/>
        <v>0</v>
      </c>
      <c r="Y265" s="10">
        <f t="shared" si="198"/>
        <v>0</v>
      </c>
      <c r="Z265" s="10">
        <f t="shared" si="199"/>
        <v>0</v>
      </c>
      <c r="AA265" s="10">
        <f t="shared" si="200"/>
        <v>0</v>
      </c>
      <c r="AB265" s="10">
        <f t="shared" si="201"/>
        <v>0</v>
      </c>
      <c r="AC265" s="10">
        <f t="shared" si="202"/>
        <v>0</v>
      </c>
      <c r="AD265" s="10">
        <f t="shared" si="203"/>
        <v>0</v>
      </c>
      <c r="AE265" s="10">
        <f t="shared" si="204"/>
        <v>0</v>
      </c>
      <c r="AF265" s="10">
        <f t="shared" si="205"/>
        <v>0</v>
      </c>
      <c r="AG265" s="10">
        <f t="shared" si="206"/>
        <v>0</v>
      </c>
      <c r="AH265" s="10">
        <f t="shared" si="207"/>
        <v>0</v>
      </c>
      <c r="AI265" s="10">
        <f t="shared" si="208"/>
        <v>0</v>
      </c>
      <c r="AJ265" s="10">
        <f t="shared" si="209"/>
        <v>0</v>
      </c>
      <c r="AK265" s="10">
        <f t="shared" si="210"/>
        <v>0</v>
      </c>
      <c r="AL265" s="10">
        <f t="shared" si="211"/>
        <v>0</v>
      </c>
      <c r="AM265" s="10">
        <f t="shared" si="212"/>
        <v>0</v>
      </c>
      <c r="AN265" s="46">
        <f t="shared" si="213"/>
        <v>0</v>
      </c>
      <c r="AO265" s="10">
        <f t="shared" si="214"/>
        <v>0</v>
      </c>
      <c r="AP265" s="10">
        <f t="shared" si="215"/>
        <v>0</v>
      </c>
      <c r="AQ265" s="10">
        <f t="shared" si="216"/>
        <v>0</v>
      </c>
      <c r="AR265" s="10">
        <f t="shared" si="217"/>
        <v>0</v>
      </c>
      <c r="AS265" s="10">
        <f t="shared" si="218"/>
        <v>0</v>
      </c>
      <c r="AT265" s="10">
        <f t="shared" si="219"/>
        <v>0</v>
      </c>
      <c r="AU265" s="10">
        <f t="shared" si="220"/>
        <v>0</v>
      </c>
      <c r="AV265" s="10">
        <f t="shared" si="221"/>
        <v>0</v>
      </c>
      <c r="AW265" s="10">
        <f t="shared" si="222"/>
        <v>0</v>
      </c>
      <c r="AX265" s="10">
        <f t="shared" si="223"/>
        <v>0</v>
      </c>
    </row>
    <row r="266" spans="1:50" x14ac:dyDescent="0.2">
      <c r="A266" s="8">
        <v>13660</v>
      </c>
      <c r="B266" s="89" t="str">
        <f t="shared" si="175"/>
        <v>Gwydir</v>
      </c>
      <c r="C266" s="9" t="str">
        <f t="shared" si="176"/>
        <v>NIRW</v>
      </c>
      <c r="D266" s="51" t="str">
        <f t="shared" si="177"/>
        <v>N</v>
      </c>
      <c r="E266" s="10" t="str">
        <f t="shared" si="178"/>
        <v>NJO</v>
      </c>
      <c r="F266" s="10">
        <f t="shared" si="179"/>
        <v>5299</v>
      </c>
      <c r="G266" s="10">
        <f t="shared" si="180"/>
        <v>3287</v>
      </c>
      <c r="H266" s="10">
        <f t="shared" si="181"/>
        <v>1.6121083054456951</v>
      </c>
      <c r="I266" s="10">
        <f t="shared" si="182"/>
        <v>9259.7000000000007</v>
      </c>
      <c r="J266" s="10">
        <f t="shared" si="183"/>
        <v>0.6</v>
      </c>
      <c r="K266" s="10">
        <f t="shared" si="184"/>
        <v>365</v>
      </c>
      <c r="L266" s="10" t="str">
        <f t="shared" si="185"/>
        <v>Y</v>
      </c>
      <c r="M266" s="10">
        <f t="shared" si="186"/>
        <v>1488</v>
      </c>
      <c r="N266" s="10">
        <f t="shared" si="187"/>
        <v>1476</v>
      </c>
      <c r="O266" s="10">
        <f t="shared" si="188"/>
        <v>0</v>
      </c>
      <c r="P266" s="10">
        <f t="shared" si="189"/>
        <v>1422</v>
      </c>
      <c r="Q266" s="10">
        <f t="shared" si="190"/>
        <v>0</v>
      </c>
      <c r="R266" s="10" t="str">
        <f t="shared" si="191"/>
        <v>Yes</v>
      </c>
      <c r="S266" s="10" t="str">
        <f t="shared" si="192"/>
        <v>Bingara Landfill 10018 Killarney Gap Road, Bingara, NSW - 2404</v>
      </c>
      <c r="T266" s="10" t="str">
        <f t="shared" si="193"/>
        <v>Warialda Waste Resource Recovery Facility 404 Rubbish Depot, Warialda, NSW 2402</v>
      </c>
      <c r="U266" s="10" t="str">
        <f t="shared" si="194"/>
        <v>Coolatai Landfill 4145 Warialda Road, Coolatai, NSW - 2402</v>
      </c>
      <c r="V266" s="10" t="str">
        <f t="shared" si="195"/>
        <v>Croppa Creek Landfill 2995 Buckie Road, Croppa Creek, NSW - 2411</v>
      </c>
      <c r="W266" s="10" t="str">
        <f t="shared" si="196"/>
        <v>Warialda Rail Landfill MR63 Bingara Road, Warialda Rail, NSW - 2402</v>
      </c>
      <c r="X266" s="10" t="str">
        <f t="shared" si="197"/>
        <v>Upper Horton Landfill 55 Hall Street Upper Horton, NSW 2347</v>
      </c>
      <c r="Y266" s="10" t="str">
        <f t="shared" si="198"/>
        <v>Gravesend Garbage Depot Pump Station Road, Gravesend, NSW - 2401</v>
      </c>
      <c r="Z266" s="10">
        <f t="shared" si="199"/>
        <v>0</v>
      </c>
      <c r="AA266" s="10">
        <f t="shared" si="200"/>
        <v>0</v>
      </c>
      <c r="AB266" s="10">
        <f t="shared" si="201"/>
        <v>0</v>
      </c>
      <c r="AC266" s="10">
        <f t="shared" si="202"/>
        <v>0</v>
      </c>
      <c r="AD266" s="10">
        <f t="shared" si="203"/>
        <v>0</v>
      </c>
      <c r="AE266" s="10">
        <f t="shared" si="204"/>
        <v>0</v>
      </c>
      <c r="AF266" s="10">
        <f t="shared" si="205"/>
        <v>0</v>
      </c>
      <c r="AG266" s="10">
        <f t="shared" si="206"/>
        <v>0</v>
      </c>
      <c r="AH266" s="10">
        <f t="shared" si="207"/>
        <v>0</v>
      </c>
      <c r="AI266" s="10">
        <f t="shared" si="208"/>
        <v>0</v>
      </c>
      <c r="AJ266" s="10">
        <f t="shared" si="209"/>
        <v>0</v>
      </c>
      <c r="AK266" s="10">
        <f t="shared" si="210"/>
        <v>0</v>
      </c>
      <c r="AL266" s="10">
        <f t="shared" si="211"/>
        <v>0</v>
      </c>
      <c r="AM266" s="10">
        <f t="shared" si="212"/>
        <v>0</v>
      </c>
      <c r="AN266" s="46">
        <f t="shared" si="213"/>
        <v>0</v>
      </c>
      <c r="AO266" s="10">
        <f t="shared" si="214"/>
        <v>0</v>
      </c>
      <c r="AP266" s="10">
        <f t="shared" si="215"/>
        <v>0</v>
      </c>
      <c r="AQ266" s="10">
        <f t="shared" si="216"/>
        <v>0</v>
      </c>
      <c r="AR266" s="10">
        <f t="shared" si="217"/>
        <v>0</v>
      </c>
      <c r="AS266" s="10">
        <f t="shared" si="218"/>
        <v>0</v>
      </c>
      <c r="AT266" s="10">
        <f t="shared" si="219"/>
        <v>0</v>
      </c>
      <c r="AU266" s="10">
        <f t="shared" si="220"/>
        <v>0</v>
      </c>
      <c r="AV266" s="10">
        <f t="shared" si="221"/>
        <v>0</v>
      </c>
      <c r="AW266" s="10">
        <f t="shared" si="222"/>
        <v>0</v>
      </c>
      <c r="AX266" s="10">
        <f t="shared" si="223"/>
        <v>0</v>
      </c>
    </row>
    <row r="267" spans="1:50" x14ac:dyDescent="0.2">
      <c r="A267" s="8">
        <v>13850</v>
      </c>
      <c r="B267" s="89" t="str">
        <f t="shared" si="175"/>
        <v>Hay</v>
      </c>
      <c r="C267" s="9" t="str">
        <f t="shared" si="176"/>
        <v>RAMJO Riverina</v>
      </c>
      <c r="D267" s="51" t="str">
        <f t="shared" si="177"/>
        <v>N</v>
      </c>
      <c r="E267" s="10" t="str">
        <f t="shared" si="178"/>
        <v>RMJO</v>
      </c>
      <c r="F267" s="10">
        <f t="shared" si="179"/>
        <v>2943</v>
      </c>
      <c r="G267" s="10">
        <f t="shared" si="180"/>
        <v>1799</v>
      </c>
      <c r="H267" s="10">
        <f t="shared" si="181"/>
        <v>1.6359088382434686</v>
      </c>
      <c r="I267" s="10">
        <f t="shared" si="182"/>
        <v>11325.9</v>
      </c>
      <c r="J267" s="10">
        <f t="shared" si="183"/>
        <v>0.3</v>
      </c>
      <c r="K267" s="10">
        <f t="shared" si="184"/>
        <v>278</v>
      </c>
      <c r="L267" s="10" t="str">
        <f t="shared" si="185"/>
        <v>Y</v>
      </c>
      <c r="M267" s="10">
        <f t="shared" si="186"/>
        <v>1208</v>
      </c>
      <c r="N267" s="10">
        <f t="shared" si="187"/>
        <v>0</v>
      </c>
      <c r="O267" s="10">
        <f t="shared" si="188"/>
        <v>0</v>
      </c>
      <c r="P267" s="10">
        <f t="shared" si="189"/>
        <v>0</v>
      </c>
      <c r="Q267" s="10">
        <f t="shared" si="190"/>
        <v>0</v>
      </c>
      <c r="R267" s="10" t="str">
        <f t="shared" si="191"/>
        <v>Yes</v>
      </c>
      <c r="S267" s="10" t="str">
        <f t="shared" si="192"/>
        <v>Hay Shire Council Waste Transfer Station</v>
      </c>
      <c r="T267" s="10">
        <f t="shared" si="193"/>
        <v>0</v>
      </c>
      <c r="U267" s="10">
        <f t="shared" si="194"/>
        <v>0</v>
      </c>
      <c r="V267" s="10">
        <f t="shared" si="195"/>
        <v>0</v>
      </c>
      <c r="W267" s="10">
        <f t="shared" si="196"/>
        <v>0</v>
      </c>
      <c r="X267" s="10">
        <f t="shared" si="197"/>
        <v>0</v>
      </c>
      <c r="Y267" s="10">
        <f t="shared" si="198"/>
        <v>0</v>
      </c>
      <c r="Z267" s="10">
        <f t="shared" si="199"/>
        <v>0</v>
      </c>
      <c r="AA267" s="10">
        <f t="shared" si="200"/>
        <v>0</v>
      </c>
      <c r="AB267" s="10">
        <f t="shared" si="201"/>
        <v>0</v>
      </c>
      <c r="AC267" s="10">
        <f t="shared" si="202"/>
        <v>0</v>
      </c>
      <c r="AD267" s="10">
        <f t="shared" si="203"/>
        <v>0</v>
      </c>
      <c r="AE267" s="10">
        <f t="shared" si="204"/>
        <v>0</v>
      </c>
      <c r="AF267" s="10">
        <f t="shared" si="205"/>
        <v>0</v>
      </c>
      <c r="AG267" s="10">
        <f t="shared" si="206"/>
        <v>0</v>
      </c>
      <c r="AH267" s="10">
        <f t="shared" si="207"/>
        <v>0</v>
      </c>
      <c r="AI267" s="10">
        <f t="shared" si="208"/>
        <v>0</v>
      </c>
      <c r="AJ267" s="10">
        <f t="shared" si="209"/>
        <v>0</v>
      </c>
      <c r="AK267" s="10">
        <f t="shared" si="210"/>
        <v>0</v>
      </c>
      <c r="AL267" s="10">
        <f t="shared" si="211"/>
        <v>0</v>
      </c>
      <c r="AM267" s="10">
        <f t="shared" si="212"/>
        <v>0</v>
      </c>
      <c r="AN267" s="46">
        <f t="shared" si="213"/>
        <v>0</v>
      </c>
      <c r="AO267" s="10">
        <f t="shared" si="214"/>
        <v>0</v>
      </c>
      <c r="AP267" s="10">
        <f t="shared" si="215"/>
        <v>0</v>
      </c>
      <c r="AQ267" s="10">
        <f t="shared" si="216"/>
        <v>0</v>
      </c>
      <c r="AR267" s="10">
        <f t="shared" si="217"/>
        <v>0</v>
      </c>
      <c r="AS267" s="10">
        <f t="shared" si="218"/>
        <v>0</v>
      </c>
      <c r="AT267" s="10">
        <f t="shared" si="219"/>
        <v>0</v>
      </c>
      <c r="AU267" s="10">
        <f t="shared" si="220"/>
        <v>0</v>
      </c>
      <c r="AV267" s="10">
        <f t="shared" si="221"/>
        <v>0</v>
      </c>
      <c r="AW267" s="10">
        <f t="shared" si="222"/>
        <v>0</v>
      </c>
      <c r="AX267" s="10">
        <f t="shared" si="223"/>
        <v>0</v>
      </c>
    </row>
    <row r="268" spans="1:50" x14ac:dyDescent="0.2">
      <c r="A268" s="8">
        <v>13910</v>
      </c>
      <c r="B268" s="89" t="str">
        <f t="shared" si="175"/>
        <v>Hilltops</v>
      </c>
      <c r="C268" s="9" t="str">
        <f t="shared" si="176"/>
        <v>CRJO</v>
      </c>
      <c r="D268" s="51" t="str">
        <f t="shared" si="177"/>
        <v>N</v>
      </c>
      <c r="E268" s="10" t="str">
        <f t="shared" si="178"/>
        <v>CRJO</v>
      </c>
      <c r="F268" s="10">
        <f t="shared" si="179"/>
        <v>18617</v>
      </c>
      <c r="G268" s="10">
        <f t="shared" si="180"/>
        <v>11454</v>
      </c>
      <c r="H268" s="10">
        <f t="shared" si="181"/>
        <v>1.6253710494150515</v>
      </c>
      <c r="I268" s="10">
        <f t="shared" si="182"/>
        <v>7140.9</v>
      </c>
      <c r="J268" s="10">
        <f t="shared" si="183"/>
        <v>2.6</v>
      </c>
      <c r="K268" s="10">
        <f t="shared" si="184"/>
        <v>485.58</v>
      </c>
      <c r="L268" s="10" t="str">
        <f t="shared" si="185"/>
        <v>Y</v>
      </c>
      <c r="M268" s="10">
        <f t="shared" si="186"/>
        <v>10054</v>
      </c>
      <c r="N268" s="10">
        <f t="shared" si="187"/>
        <v>5054</v>
      </c>
      <c r="O268" s="10">
        <f t="shared" si="188"/>
        <v>4386</v>
      </c>
      <c r="P268" s="10">
        <f t="shared" si="189"/>
        <v>0</v>
      </c>
      <c r="Q268" s="10">
        <f t="shared" si="190"/>
        <v>0</v>
      </c>
      <c r="R268" s="10" t="str">
        <f t="shared" si="191"/>
        <v>Yes</v>
      </c>
      <c r="S268" s="10" t="str">
        <f t="shared" si="192"/>
        <v>Victoria Street</v>
      </c>
      <c r="T268" s="10" t="str">
        <f t="shared" si="193"/>
        <v>Red Hill</v>
      </c>
      <c r="U268" s="10" t="str">
        <f t="shared" si="194"/>
        <v>Boorowa</v>
      </c>
      <c r="V268" s="10" t="str">
        <f t="shared" si="195"/>
        <v>Murrumburrah</v>
      </c>
      <c r="W268" s="10" t="str">
        <f t="shared" si="196"/>
        <v>Transfer Stations VIllage</v>
      </c>
      <c r="X268" s="10" t="str">
        <f t="shared" si="197"/>
        <v>Village Landfills</v>
      </c>
      <c r="Y268" s="10">
        <f t="shared" si="198"/>
        <v>0</v>
      </c>
      <c r="Z268" s="10">
        <f t="shared" si="199"/>
        <v>0</v>
      </c>
      <c r="AA268" s="10">
        <f t="shared" si="200"/>
        <v>0</v>
      </c>
      <c r="AB268" s="10">
        <f t="shared" si="201"/>
        <v>0</v>
      </c>
      <c r="AC268" s="10">
        <f t="shared" si="202"/>
        <v>0</v>
      </c>
      <c r="AD268" s="10">
        <f t="shared" si="203"/>
        <v>0</v>
      </c>
      <c r="AE268" s="10">
        <f t="shared" si="204"/>
        <v>0</v>
      </c>
      <c r="AF268" s="10">
        <f t="shared" si="205"/>
        <v>0</v>
      </c>
      <c r="AG268" s="10">
        <f t="shared" si="206"/>
        <v>0</v>
      </c>
      <c r="AH268" s="10">
        <f t="shared" si="207"/>
        <v>0</v>
      </c>
      <c r="AI268" s="10">
        <f t="shared" si="208"/>
        <v>0</v>
      </c>
      <c r="AJ268" s="10">
        <f t="shared" si="209"/>
        <v>0</v>
      </c>
      <c r="AK268" s="10">
        <f t="shared" si="210"/>
        <v>0</v>
      </c>
      <c r="AL268" s="10">
        <f t="shared" si="211"/>
        <v>0</v>
      </c>
      <c r="AM268" s="10">
        <f t="shared" si="212"/>
        <v>0</v>
      </c>
      <c r="AN268" s="46">
        <f t="shared" si="213"/>
        <v>0</v>
      </c>
      <c r="AO268" s="10">
        <f t="shared" si="214"/>
        <v>0</v>
      </c>
      <c r="AP268" s="10">
        <f t="shared" si="215"/>
        <v>0</v>
      </c>
      <c r="AQ268" s="10">
        <f t="shared" si="216"/>
        <v>0</v>
      </c>
      <c r="AR268" s="10">
        <f t="shared" si="217"/>
        <v>0</v>
      </c>
      <c r="AS268" s="10">
        <f t="shared" si="218"/>
        <v>0</v>
      </c>
      <c r="AT268" s="10">
        <f t="shared" si="219"/>
        <v>0</v>
      </c>
      <c r="AU268" s="10">
        <f t="shared" si="220"/>
        <v>0</v>
      </c>
      <c r="AV268" s="10">
        <f t="shared" si="221"/>
        <v>0</v>
      </c>
      <c r="AW268" s="10">
        <f t="shared" si="222"/>
        <v>0</v>
      </c>
      <c r="AX268" s="10">
        <f t="shared" si="223"/>
        <v>0</v>
      </c>
    </row>
    <row r="269" spans="1:50" x14ac:dyDescent="0.2">
      <c r="A269" s="8">
        <v>14200</v>
      </c>
      <c r="B269" s="89" t="str">
        <f t="shared" si="175"/>
        <v>Inverell</v>
      </c>
      <c r="C269" s="9" t="str">
        <f t="shared" si="176"/>
        <v>NIRW</v>
      </c>
      <c r="D269" s="51" t="str">
        <f t="shared" si="177"/>
        <v>N</v>
      </c>
      <c r="E269" s="10" t="str">
        <f t="shared" si="178"/>
        <v>NEJO</v>
      </c>
      <c r="F269" s="10">
        <f t="shared" si="179"/>
        <v>17780</v>
      </c>
      <c r="G269" s="10">
        <f t="shared" si="180"/>
        <v>8587</v>
      </c>
      <c r="H269" s="10">
        <f t="shared" si="181"/>
        <v>2.0705717945731918</v>
      </c>
      <c r="I269" s="10">
        <f t="shared" si="182"/>
        <v>9408.5</v>
      </c>
      <c r="J269" s="10">
        <f t="shared" si="183"/>
        <v>1.9</v>
      </c>
      <c r="K269" s="10">
        <f t="shared" si="184"/>
        <v>340</v>
      </c>
      <c r="L269" s="10" t="str">
        <f t="shared" si="185"/>
        <v>Y</v>
      </c>
      <c r="M269" s="10">
        <f t="shared" si="186"/>
        <v>7115</v>
      </c>
      <c r="N269" s="10">
        <f t="shared" si="187"/>
        <v>7115</v>
      </c>
      <c r="O269" s="10">
        <f t="shared" si="188"/>
        <v>0</v>
      </c>
      <c r="P269" s="10">
        <f t="shared" si="189"/>
        <v>0</v>
      </c>
      <c r="Q269" s="10">
        <f t="shared" si="190"/>
        <v>8587</v>
      </c>
      <c r="R269" s="10" t="str">
        <f t="shared" si="191"/>
        <v>Yes</v>
      </c>
      <c r="S269" s="10" t="str">
        <f t="shared" si="192"/>
        <v>Inverell Landfill Burtenshaw Road Inverell</v>
      </c>
      <c r="T269" s="10" t="str">
        <f t="shared" si="193"/>
        <v>Ashford Waste Transfer Station, Limestone Road, Ashford</v>
      </c>
      <c r="U269" s="10" t="str">
        <f t="shared" si="194"/>
        <v>Bonshaw Waste Transfer Station, Campbells Road, Bonshaw</v>
      </c>
      <c r="V269" s="10" t="str">
        <f t="shared" si="195"/>
        <v>Delungra Waste Transfer Station, Haymarket Road, Delungra</v>
      </c>
      <c r="W269" s="10" t="str">
        <f t="shared" si="196"/>
        <v>Yetman Waste Transfer Station, Warialda Road, Yetman</v>
      </c>
      <c r="X269" s="10" t="str">
        <f t="shared" si="197"/>
        <v>Tingha Landfill, Kempton Road, Tingha</v>
      </c>
      <c r="Y269" s="10">
        <f t="shared" si="198"/>
        <v>0</v>
      </c>
      <c r="Z269" s="10">
        <f t="shared" si="199"/>
        <v>0</v>
      </c>
      <c r="AA269" s="10">
        <f t="shared" si="200"/>
        <v>0</v>
      </c>
      <c r="AB269" s="10">
        <f t="shared" si="201"/>
        <v>0</v>
      </c>
      <c r="AC269" s="10">
        <f t="shared" si="202"/>
        <v>0</v>
      </c>
      <c r="AD269" s="10">
        <f t="shared" si="203"/>
        <v>0</v>
      </c>
      <c r="AE269" s="10">
        <f t="shared" si="204"/>
        <v>0</v>
      </c>
      <c r="AF269" s="10">
        <f t="shared" si="205"/>
        <v>0</v>
      </c>
      <c r="AG269" s="10">
        <f t="shared" si="206"/>
        <v>0</v>
      </c>
      <c r="AH269" s="10">
        <f t="shared" si="207"/>
        <v>0</v>
      </c>
      <c r="AI269" s="10">
        <f t="shared" si="208"/>
        <v>0</v>
      </c>
      <c r="AJ269" s="10">
        <f t="shared" si="209"/>
        <v>0</v>
      </c>
      <c r="AK269" s="10">
        <f t="shared" si="210"/>
        <v>0</v>
      </c>
      <c r="AL269" s="10">
        <f t="shared" si="211"/>
        <v>0</v>
      </c>
      <c r="AM269" s="10">
        <f t="shared" si="212"/>
        <v>0</v>
      </c>
      <c r="AN269" s="46">
        <f t="shared" si="213"/>
        <v>0</v>
      </c>
      <c r="AO269" s="10">
        <f t="shared" si="214"/>
        <v>0</v>
      </c>
      <c r="AP269" s="10">
        <f t="shared" si="215"/>
        <v>0</v>
      </c>
      <c r="AQ269" s="10">
        <f t="shared" si="216"/>
        <v>0</v>
      </c>
      <c r="AR269" s="10">
        <f t="shared" si="217"/>
        <v>0</v>
      </c>
      <c r="AS269" s="10">
        <f t="shared" si="218"/>
        <v>0</v>
      </c>
      <c r="AT269" s="10">
        <f t="shared" si="219"/>
        <v>0</v>
      </c>
      <c r="AU269" s="10">
        <f t="shared" si="220"/>
        <v>0</v>
      </c>
      <c r="AV269" s="10">
        <f t="shared" si="221"/>
        <v>0</v>
      </c>
      <c r="AW269" s="10">
        <f t="shared" si="222"/>
        <v>0</v>
      </c>
      <c r="AX269" s="10">
        <f t="shared" si="223"/>
        <v>0</v>
      </c>
    </row>
    <row r="270" spans="1:50" x14ac:dyDescent="0.2">
      <c r="A270" s="8">
        <v>14300</v>
      </c>
      <c r="B270" s="89" t="str">
        <f t="shared" si="175"/>
        <v>Junee</v>
      </c>
      <c r="C270" s="9" t="str">
        <f t="shared" si="176"/>
        <v>REROC</v>
      </c>
      <c r="D270" s="51" t="str">
        <f t="shared" si="177"/>
        <v>N</v>
      </c>
      <c r="E270" s="10" t="str">
        <f t="shared" si="178"/>
        <v>RJO</v>
      </c>
      <c r="F270" s="10">
        <f t="shared" si="179"/>
        <v>6676</v>
      </c>
      <c r="G270" s="10">
        <f t="shared" si="180"/>
        <v>3087</v>
      </c>
      <c r="H270" s="10">
        <f t="shared" si="181"/>
        <v>2.1626174279235504</v>
      </c>
      <c r="I270" s="10">
        <f t="shared" si="182"/>
        <v>2030</v>
      </c>
      <c r="J270" s="10">
        <f t="shared" si="183"/>
        <v>3.3</v>
      </c>
      <c r="K270" s="10">
        <f t="shared" si="184"/>
        <v>400.8</v>
      </c>
      <c r="L270" s="10" t="str">
        <f t="shared" si="185"/>
        <v>Y</v>
      </c>
      <c r="M270" s="10">
        <f t="shared" si="186"/>
        <v>1963</v>
      </c>
      <c r="N270" s="10">
        <f t="shared" si="187"/>
        <v>1952</v>
      </c>
      <c r="O270" s="10">
        <f t="shared" si="188"/>
        <v>0</v>
      </c>
      <c r="P270" s="10">
        <f t="shared" si="189"/>
        <v>1702</v>
      </c>
      <c r="Q270" s="10">
        <f t="shared" si="190"/>
        <v>0</v>
      </c>
      <c r="R270" s="10" t="str">
        <f t="shared" si="191"/>
        <v>Yes</v>
      </c>
      <c r="S270" s="10" t="str">
        <f t="shared" si="192"/>
        <v xml:space="preserve">Junee Landfill Waste Facility, Lot 111 Kahmoo Lane, Junee </v>
      </c>
      <c r="T270" s="10">
        <f t="shared" si="193"/>
        <v>0</v>
      </c>
      <c r="U270" s="10">
        <f t="shared" si="194"/>
        <v>0</v>
      </c>
      <c r="V270" s="10">
        <f t="shared" si="195"/>
        <v>0</v>
      </c>
      <c r="W270" s="10">
        <f t="shared" si="196"/>
        <v>0</v>
      </c>
      <c r="X270" s="10">
        <f t="shared" si="197"/>
        <v>0</v>
      </c>
      <c r="Y270" s="10">
        <f t="shared" si="198"/>
        <v>0</v>
      </c>
      <c r="Z270" s="10">
        <f t="shared" si="199"/>
        <v>0</v>
      </c>
      <c r="AA270" s="10">
        <f t="shared" si="200"/>
        <v>0</v>
      </c>
      <c r="AB270" s="10">
        <f t="shared" si="201"/>
        <v>0</v>
      </c>
      <c r="AC270" s="10">
        <f t="shared" si="202"/>
        <v>0</v>
      </c>
      <c r="AD270" s="10">
        <f t="shared" si="203"/>
        <v>0</v>
      </c>
      <c r="AE270" s="10">
        <f t="shared" si="204"/>
        <v>0</v>
      </c>
      <c r="AF270" s="10">
        <f t="shared" si="205"/>
        <v>0</v>
      </c>
      <c r="AG270" s="10">
        <f t="shared" si="206"/>
        <v>0</v>
      </c>
      <c r="AH270" s="10">
        <f t="shared" si="207"/>
        <v>0</v>
      </c>
      <c r="AI270" s="10">
        <f t="shared" si="208"/>
        <v>0</v>
      </c>
      <c r="AJ270" s="10">
        <f t="shared" si="209"/>
        <v>0</v>
      </c>
      <c r="AK270" s="10">
        <f t="shared" si="210"/>
        <v>0</v>
      </c>
      <c r="AL270" s="10">
        <f t="shared" si="211"/>
        <v>0</v>
      </c>
      <c r="AM270" s="10">
        <f t="shared" si="212"/>
        <v>0</v>
      </c>
      <c r="AN270" s="46">
        <f t="shared" si="213"/>
        <v>0</v>
      </c>
      <c r="AO270" s="10">
        <f t="shared" si="214"/>
        <v>0</v>
      </c>
      <c r="AP270" s="10">
        <f t="shared" si="215"/>
        <v>0</v>
      </c>
      <c r="AQ270" s="10">
        <f t="shared" si="216"/>
        <v>0</v>
      </c>
      <c r="AR270" s="10">
        <f t="shared" si="217"/>
        <v>0</v>
      </c>
      <c r="AS270" s="10">
        <f t="shared" si="218"/>
        <v>0</v>
      </c>
      <c r="AT270" s="10">
        <f t="shared" si="219"/>
        <v>0</v>
      </c>
      <c r="AU270" s="10">
        <f t="shared" si="220"/>
        <v>0</v>
      </c>
      <c r="AV270" s="10">
        <f t="shared" si="221"/>
        <v>0</v>
      </c>
      <c r="AW270" s="10">
        <f t="shared" si="222"/>
        <v>0</v>
      </c>
      <c r="AX270" s="10">
        <f t="shared" si="223"/>
        <v>0</v>
      </c>
    </row>
    <row r="271" spans="1:50" x14ac:dyDescent="0.2">
      <c r="A271" s="8">
        <v>14600</v>
      </c>
      <c r="B271" s="89" t="str">
        <f t="shared" si="175"/>
        <v>Lachlan</v>
      </c>
      <c r="C271" s="9" t="str">
        <f t="shared" si="176"/>
        <v>NetWaste</v>
      </c>
      <c r="D271" s="51" t="str">
        <f t="shared" si="177"/>
        <v>N</v>
      </c>
      <c r="E271" s="10" t="str">
        <f t="shared" si="178"/>
        <v>CNJO</v>
      </c>
      <c r="F271" s="10">
        <f t="shared" si="179"/>
        <v>6089</v>
      </c>
      <c r="G271" s="10">
        <f t="shared" si="180"/>
        <v>4260</v>
      </c>
      <c r="H271" s="10">
        <f t="shared" si="181"/>
        <v>1.4293427230046949</v>
      </c>
      <c r="I271" s="10">
        <f t="shared" si="182"/>
        <v>14968.3</v>
      </c>
      <c r="J271" s="10">
        <f t="shared" si="183"/>
        <v>0.4</v>
      </c>
      <c r="K271" s="10">
        <f t="shared" si="184"/>
        <v>551</v>
      </c>
      <c r="L271" s="10" t="str">
        <f t="shared" si="185"/>
        <v>Y</v>
      </c>
      <c r="M271" s="10">
        <f t="shared" si="186"/>
        <v>2064</v>
      </c>
      <c r="N271" s="10">
        <f t="shared" si="187"/>
        <v>2057</v>
      </c>
      <c r="O271" s="10">
        <f t="shared" si="188"/>
        <v>1293</v>
      </c>
      <c r="P271" s="10">
        <f t="shared" si="189"/>
        <v>0</v>
      </c>
      <c r="Q271" s="10">
        <f t="shared" si="190"/>
        <v>0</v>
      </c>
      <c r="R271" s="10" t="str">
        <f t="shared" si="191"/>
        <v>No</v>
      </c>
      <c r="S271" s="10" t="str">
        <f t="shared" si="192"/>
        <v xml:space="preserve">Condobolin - 55 Boona Road Condobolin </v>
      </c>
      <c r="T271" s="10" t="str">
        <f t="shared" si="193"/>
        <v>Lake Cargelligo - Ubba Street Condobolin</v>
      </c>
      <c r="U271" s="10" t="str">
        <f t="shared" si="194"/>
        <v>Burcher - Burcher Road</v>
      </c>
      <c r="V271" s="10" t="str">
        <f t="shared" si="195"/>
        <v xml:space="preserve">Tottenham - Tottenham Tip Road </v>
      </c>
      <c r="W271" s="10" t="str">
        <f t="shared" si="196"/>
        <v xml:space="preserve">Tullibigeal - Tullibigeal Road </v>
      </c>
      <c r="X271" s="10">
        <f t="shared" si="197"/>
        <v>0</v>
      </c>
      <c r="Y271" s="10">
        <f t="shared" si="198"/>
        <v>0</v>
      </c>
      <c r="Z271" s="10">
        <f t="shared" si="199"/>
        <v>0</v>
      </c>
      <c r="AA271" s="10">
        <f t="shared" si="200"/>
        <v>0</v>
      </c>
      <c r="AB271" s="10">
        <f t="shared" si="201"/>
        <v>0</v>
      </c>
      <c r="AC271" s="10">
        <f t="shared" si="202"/>
        <v>0</v>
      </c>
      <c r="AD271" s="10">
        <f t="shared" si="203"/>
        <v>0</v>
      </c>
      <c r="AE271" s="10">
        <f t="shared" si="204"/>
        <v>0</v>
      </c>
      <c r="AF271" s="10">
        <f t="shared" si="205"/>
        <v>0</v>
      </c>
      <c r="AG271" s="10">
        <f t="shared" si="206"/>
        <v>0</v>
      </c>
      <c r="AH271" s="10">
        <f t="shared" si="207"/>
        <v>0</v>
      </c>
      <c r="AI271" s="10">
        <f t="shared" si="208"/>
        <v>0</v>
      </c>
      <c r="AJ271" s="10">
        <f t="shared" si="209"/>
        <v>0</v>
      </c>
      <c r="AK271" s="10">
        <f t="shared" si="210"/>
        <v>0</v>
      </c>
      <c r="AL271" s="10">
        <f t="shared" si="211"/>
        <v>0</v>
      </c>
      <c r="AM271" s="10">
        <f t="shared" si="212"/>
        <v>0</v>
      </c>
      <c r="AN271" s="46">
        <f t="shared" si="213"/>
        <v>0</v>
      </c>
      <c r="AO271" s="10">
        <f t="shared" si="214"/>
        <v>0</v>
      </c>
      <c r="AP271" s="10">
        <f t="shared" si="215"/>
        <v>0</v>
      </c>
      <c r="AQ271" s="10">
        <f t="shared" si="216"/>
        <v>0</v>
      </c>
      <c r="AR271" s="10">
        <f t="shared" si="217"/>
        <v>0</v>
      </c>
      <c r="AS271" s="10">
        <f t="shared" si="218"/>
        <v>0</v>
      </c>
      <c r="AT271" s="10">
        <f t="shared" si="219"/>
        <v>0</v>
      </c>
      <c r="AU271" s="10">
        <f t="shared" si="220"/>
        <v>0</v>
      </c>
      <c r="AV271" s="10">
        <f t="shared" si="221"/>
        <v>0</v>
      </c>
      <c r="AW271" s="10">
        <f t="shared" si="222"/>
        <v>0</v>
      </c>
      <c r="AX271" s="10">
        <f t="shared" si="223"/>
        <v>0</v>
      </c>
    </row>
    <row r="272" spans="1:50" x14ac:dyDescent="0.2">
      <c r="A272" s="8">
        <v>14750</v>
      </c>
      <c r="B272" s="89" t="str">
        <f t="shared" si="175"/>
        <v>Leeton</v>
      </c>
      <c r="C272" s="9" t="str">
        <f t="shared" si="176"/>
        <v>RAMJO Riverina</v>
      </c>
      <c r="D272" s="51" t="str">
        <f t="shared" si="177"/>
        <v>N</v>
      </c>
      <c r="E272" s="10" t="str">
        <f t="shared" si="178"/>
        <v>RMJO</v>
      </c>
      <c r="F272" s="10">
        <f t="shared" si="179"/>
        <v>11343</v>
      </c>
      <c r="G272" s="10">
        <f t="shared" si="180"/>
        <v>4170</v>
      </c>
      <c r="H272" s="10">
        <f t="shared" si="181"/>
        <v>2.7201438848920865</v>
      </c>
      <c r="I272" s="10">
        <f t="shared" si="182"/>
        <v>1167.2</v>
      </c>
      <c r="J272" s="10">
        <f t="shared" si="183"/>
        <v>9.6999999999999993</v>
      </c>
      <c r="K272" s="10">
        <f t="shared" si="184"/>
        <v>288</v>
      </c>
      <c r="L272" s="10" t="str">
        <f t="shared" si="185"/>
        <v>Y</v>
      </c>
      <c r="M272" s="10">
        <f t="shared" si="186"/>
        <v>4093</v>
      </c>
      <c r="N272" s="10">
        <f t="shared" si="187"/>
        <v>4014</v>
      </c>
      <c r="O272" s="10">
        <f t="shared" si="188"/>
        <v>0</v>
      </c>
      <c r="P272" s="10">
        <f t="shared" si="189"/>
        <v>0</v>
      </c>
      <c r="Q272" s="10">
        <f t="shared" si="190"/>
        <v>0</v>
      </c>
      <c r="R272" s="10" t="str">
        <f t="shared" si="191"/>
        <v>Yes</v>
      </c>
      <c r="S272" s="10">
        <f t="shared" si="192"/>
        <v>0</v>
      </c>
      <c r="T272" s="10">
        <f t="shared" si="193"/>
        <v>0</v>
      </c>
      <c r="U272" s="10">
        <f t="shared" si="194"/>
        <v>0</v>
      </c>
      <c r="V272" s="10">
        <f t="shared" si="195"/>
        <v>0</v>
      </c>
      <c r="W272" s="10">
        <f t="shared" si="196"/>
        <v>0</v>
      </c>
      <c r="X272" s="10">
        <f t="shared" si="197"/>
        <v>0</v>
      </c>
      <c r="Y272" s="10">
        <f t="shared" si="198"/>
        <v>0</v>
      </c>
      <c r="Z272" s="10">
        <f t="shared" si="199"/>
        <v>0</v>
      </c>
      <c r="AA272" s="10">
        <f t="shared" si="200"/>
        <v>0</v>
      </c>
      <c r="AB272" s="10">
        <f t="shared" si="201"/>
        <v>0</v>
      </c>
      <c r="AC272" s="10">
        <f t="shared" si="202"/>
        <v>0</v>
      </c>
      <c r="AD272" s="10">
        <f t="shared" si="203"/>
        <v>0</v>
      </c>
      <c r="AE272" s="10">
        <f t="shared" si="204"/>
        <v>0</v>
      </c>
      <c r="AF272" s="10">
        <f t="shared" si="205"/>
        <v>0</v>
      </c>
      <c r="AG272" s="10">
        <f t="shared" si="206"/>
        <v>0</v>
      </c>
      <c r="AH272" s="10">
        <f t="shared" si="207"/>
        <v>0</v>
      </c>
      <c r="AI272" s="10">
        <f t="shared" si="208"/>
        <v>0</v>
      </c>
      <c r="AJ272" s="10">
        <f t="shared" si="209"/>
        <v>0</v>
      </c>
      <c r="AK272" s="10">
        <f t="shared" si="210"/>
        <v>0</v>
      </c>
      <c r="AL272" s="10">
        <f t="shared" si="211"/>
        <v>0</v>
      </c>
      <c r="AM272" s="10">
        <f t="shared" si="212"/>
        <v>0</v>
      </c>
      <c r="AN272" s="46">
        <f t="shared" si="213"/>
        <v>0</v>
      </c>
      <c r="AO272" s="10">
        <f t="shared" si="214"/>
        <v>0</v>
      </c>
      <c r="AP272" s="10">
        <f t="shared" si="215"/>
        <v>0</v>
      </c>
      <c r="AQ272" s="10">
        <f t="shared" si="216"/>
        <v>0</v>
      </c>
      <c r="AR272" s="10">
        <f t="shared" si="217"/>
        <v>0</v>
      </c>
      <c r="AS272" s="10">
        <f t="shared" si="218"/>
        <v>0</v>
      </c>
      <c r="AT272" s="10">
        <f t="shared" si="219"/>
        <v>0</v>
      </c>
      <c r="AU272" s="10">
        <f t="shared" si="220"/>
        <v>0</v>
      </c>
      <c r="AV272" s="10">
        <f t="shared" si="221"/>
        <v>0</v>
      </c>
      <c r="AW272" s="10">
        <f t="shared" si="222"/>
        <v>0</v>
      </c>
      <c r="AX272" s="10">
        <f t="shared" si="223"/>
        <v>0</v>
      </c>
    </row>
    <row r="273" spans="1:50" x14ac:dyDescent="0.2">
      <c r="A273" s="8">
        <v>14870</v>
      </c>
      <c r="B273" s="89" t="str">
        <f t="shared" si="175"/>
        <v>Lithgow</v>
      </c>
      <c r="C273" s="9" t="str">
        <f t="shared" si="176"/>
        <v>NetWaste</v>
      </c>
      <c r="D273" s="51" t="str">
        <f t="shared" si="177"/>
        <v>N</v>
      </c>
      <c r="E273" s="10">
        <f t="shared" si="178"/>
        <v>0</v>
      </c>
      <c r="F273" s="10">
        <f t="shared" si="179"/>
        <v>21516</v>
      </c>
      <c r="G273" s="10">
        <f t="shared" si="180"/>
        <v>11568</v>
      </c>
      <c r="H273" s="10">
        <f t="shared" si="181"/>
        <v>1.8599585062240664</v>
      </c>
      <c r="I273" s="10">
        <f t="shared" si="182"/>
        <v>4512.3</v>
      </c>
      <c r="J273" s="10">
        <f t="shared" si="183"/>
        <v>4.8</v>
      </c>
      <c r="K273" s="10">
        <f t="shared" si="184"/>
        <v>459.81</v>
      </c>
      <c r="L273" s="10" t="str">
        <f t="shared" si="185"/>
        <v>Y</v>
      </c>
      <c r="M273" s="10">
        <f t="shared" si="186"/>
        <v>8795</v>
      </c>
      <c r="N273" s="10">
        <f t="shared" si="187"/>
        <v>8760</v>
      </c>
      <c r="O273" s="10">
        <f t="shared" si="188"/>
        <v>0</v>
      </c>
      <c r="P273" s="10">
        <f t="shared" si="189"/>
        <v>0</v>
      </c>
      <c r="Q273" s="10">
        <f t="shared" si="190"/>
        <v>11568</v>
      </c>
      <c r="R273" s="10" t="str">
        <f t="shared" si="191"/>
        <v>Yes</v>
      </c>
      <c r="S273" s="10" t="str">
        <f t="shared" si="192"/>
        <v>Lithgow, 62 Geordie Street Lithgow</v>
      </c>
      <c r="T273" s="10" t="str">
        <f t="shared" si="193"/>
        <v>Portland, Portland Cullen Bullen Road Portland</v>
      </c>
      <c r="U273" s="10" t="str">
        <f t="shared" si="194"/>
        <v>Wallerawang, Pipers Flat Road Wallerawang</v>
      </c>
      <c r="V273" s="10" t="str">
        <f t="shared" si="195"/>
        <v>Capertee, Hearne Street Capertee</v>
      </c>
      <c r="W273" s="10">
        <f t="shared" si="196"/>
        <v>0</v>
      </c>
      <c r="X273" s="10">
        <f t="shared" si="197"/>
        <v>0</v>
      </c>
      <c r="Y273" s="10">
        <f t="shared" si="198"/>
        <v>0</v>
      </c>
      <c r="Z273" s="10">
        <f t="shared" si="199"/>
        <v>0</v>
      </c>
      <c r="AA273" s="10">
        <f t="shared" si="200"/>
        <v>0</v>
      </c>
      <c r="AB273" s="10">
        <f t="shared" si="201"/>
        <v>0</v>
      </c>
      <c r="AC273" s="10">
        <f t="shared" si="202"/>
        <v>0</v>
      </c>
      <c r="AD273" s="10">
        <f t="shared" si="203"/>
        <v>0</v>
      </c>
      <c r="AE273" s="10">
        <f t="shared" si="204"/>
        <v>0</v>
      </c>
      <c r="AF273" s="10">
        <f t="shared" si="205"/>
        <v>0</v>
      </c>
      <c r="AG273" s="10">
        <f t="shared" si="206"/>
        <v>0</v>
      </c>
      <c r="AH273" s="10">
        <f t="shared" si="207"/>
        <v>0</v>
      </c>
      <c r="AI273" s="10">
        <f t="shared" si="208"/>
        <v>0</v>
      </c>
      <c r="AJ273" s="10">
        <f t="shared" si="209"/>
        <v>0</v>
      </c>
      <c r="AK273" s="10">
        <f t="shared" si="210"/>
        <v>0</v>
      </c>
      <c r="AL273" s="10">
        <f t="shared" si="211"/>
        <v>0</v>
      </c>
      <c r="AM273" s="10">
        <f t="shared" si="212"/>
        <v>0</v>
      </c>
      <c r="AN273" s="46">
        <f t="shared" si="213"/>
        <v>0</v>
      </c>
      <c r="AO273" s="10">
        <f t="shared" si="214"/>
        <v>0</v>
      </c>
      <c r="AP273" s="10">
        <f t="shared" si="215"/>
        <v>0</v>
      </c>
      <c r="AQ273" s="10">
        <f t="shared" si="216"/>
        <v>0</v>
      </c>
      <c r="AR273" s="10">
        <f t="shared" si="217"/>
        <v>0</v>
      </c>
      <c r="AS273" s="10">
        <f t="shared" si="218"/>
        <v>0</v>
      </c>
      <c r="AT273" s="10">
        <f t="shared" si="219"/>
        <v>0</v>
      </c>
      <c r="AU273" s="10">
        <f t="shared" si="220"/>
        <v>0</v>
      </c>
      <c r="AV273" s="10">
        <f t="shared" si="221"/>
        <v>0</v>
      </c>
      <c r="AW273" s="10">
        <f t="shared" si="222"/>
        <v>0</v>
      </c>
      <c r="AX273" s="10">
        <f t="shared" si="223"/>
        <v>0</v>
      </c>
    </row>
    <row r="274" spans="1:50" x14ac:dyDescent="0.2">
      <c r="A274" s="8">
        <v>14920</v>
      </c>
      <c r="B274" s="89" t="str">
        <f t="shared" si="175"/>
        <v>Liverpool Plains</v>
      </c>
      <c r="C274" s="9" t="str">
        <f t="shared" si="176"/>
        <v>NIRW</v>
      </c>
      <c r="D274" s="51" t="str">
        <f t="shared" si="177"/>
        <v>N</v>
      </c>
      <c r="E274" s="10" t="str">
        <f t="shared" si="178"/>
        <v>NJO</v>
      </c>
      <c r="F274" s="10">
        <f t="shared" si="179"/>
        <v>7853</v>
      </c>
      <c r="G274" s="10">
        <f t="shared" si="180"/>
        <v>2825</v>
      </c>
      <c r="H274" s="10">
        <f t="shared" si="181"/>
        <v>2.7798230088495575</v>
      </c>
      <c r="I274" s="10">
        <f t="shared" si="182"/>
        <v>5082.2</v>
      </c>
      <c r="J274" s="10">
        <f t="shared" si="183"/>
        <v>1.5</v>
      </c>
      <c r="K274" s="10">
        <f t="shared" si="184"/>
        <v>408</v>
      </c>
      <c r="L274" s="10" t="str">
        <f t="shared" si="185"/>
        <v>Y</v>
      </c>
      <c r="M274" s="10">
        <f t="shared" si="186"/>
        <v>2576</v>
      </c>
      <c r="N274" s="10">
        <f t="shared" si="187"/>
        <v>2556</v>
      </c>
      <c r="O274" s="10">
        <f t="shared" si="188"/>
        <v>0</v>
      </c>
      <c r="P274" s="10">
        <f t="shared" si="189"/>
        <v>0</v>
      </c>
      <c r="Q274" s="10">
        <f t="shared" si="190"/>
        <v>2825</v>
      </c>
      <c r="R274" s="10" t="str">
        <f t="shared" si="191"/>
        <v>Yes</v>
      </c>
      <c r="S274" s="10">
        <f t="shared" si="192"/>
        <v>0</v>
      </c>
      <c r="T274" s="10">
        <f t="shared" si="193"/>
        <v>0</v>
      </c>
      <c r="U274" s="10">
        <f t="shared" si="194"/>
        <v>0</v>
      </c>
      <c r="V274" s="10">
        <f t="shared" si="195"/>
        <v>0</v>
      </c>
      <c r="W274" s="10">
        <f t="shared" si="196"/>
        <v>0</v>
      </c>
      <c r="X274" s="10">
        <f t="shared" si="197"/>
        <v>0</v>
      </c>
      <c r="Y274" s="10">
        <f t="shared" si="198"/>
        <v>0</v>
      </c>
      <c r="Z274" s="10">
        <f t="shared" si="199"/>
        <v>0</v>
      </c>
      <c r="AA274" s="10">
        <f t="shared" si="200"/>
        <v>0</v>
      </c>
      <c r="AB274" s="10">
        <f t="shared" si="201"/>
        <v>0</v>
      </c>
      <c r="AC274" s="10">
        <f t="shared" si="202"/>
        <v>0</v>
      </c>
      <c r="AD274" s="10">
        <f t="shared" si="203"/>
        <v>0</v>
      </c>
      <c r="AE274" s="10">
        <f t="shared" si="204"/>
        <v>0</v>
      </c>
      <c r="AF274" s="10">
        <f t="shared" si="205"/>
        <v>0</v>
      </c>
      <c r="AG274" s="10">
        <f t="shared" si="206"/>
        <v>0</v>
      </c>
      <c r="AH274" s="10">
        <f t="shared" si="207"/>
        <v>0</v>
      </c>
      <c r="AI274" s="10">
        <f t="shared" si="208"/>
        <v>0</v>
      </c>
      <c r="AJ274" s="10">
        <f t="shared" si="209"/>
        <v>0</v>
      </c>
      <c r="AK274" s="10">
        <f t="shared" si="210"/>
        <v>0</v>
      </c>
      <c r="AL274" s="10">
        <f t="shared" si="211"/>
        <v>0</v>
      </c>
      <c r="AM274" s="10">
        <f t="shared" si="212"/>
        <v>0</v>
      </c>
      <c r="AN274" s="46">
        <f t="shared" si="213"/>
        <v>0</v>
      </c>
      <c r="AO274" s="10">
        <f t="shared" si="214"/>
        <v>0</v>
      </c>
      <c r="AP274" s="10">
        <f t="shared" si="215"/>
        <v>0</v>
      </c>
      <c r="AQ274" s="10">
        <f t="shared" si="216"/>
        <v>0</v>
      </c>
      <c r="AR274" s="10">
        <f t="shared" si="217"/>
        <v>0</v>
      </c>
      <c r="AS274" s="10">
        <f t="shared" si="218"/>
        <v>0</v>
      </c>
      <c r="AT274" s="10">
        <f t="shared" si="219"/>
        <v>0</v>
      </c>
      <c r="AU274" s="10">
        <f t="shared" si="220"/>
        <v>0</v>
      </c>
      <c r="AV274" s="10">
        <f t="shared" si="221"/>
        <v>0</v>
      </c>
      <c r="AW274" s="10">
        <f t="shared" si="222"/>
        <v>0</v>
      </c>
      <c r="AX274" s="10">
        <f t="shared" si="223"/>
        <v>0</v>
      </c>
    </row>
    <row r="275" spans="1:50" x14ac:dyDescent="0.2">
      <c r="A275" s="8">
        <v>14950</v>
      </c>
      <c r="B275" s="89" t="str">
        <f t="shared" si="175"/>
        <v>Lockhart</v>
      </c>
      <c r="C275" s="9" t="str">
        <f t="shared" si="176"/>
        <v>REROC</v>
      </c>
      <c r="D275" s="51" t="str">
        <f t="shared" si="177"/>
        <v>N</v>
      </c>
      <c r="E275" s="10" t="str">
        <f t="shared" si="178"/>
        <v>RJO</v>
      </c>
      <c r="F275" s="10">
        <f t="shared" si="179"/>
        <v>3259</v>
      </c>
      <c r="G275" s="10">
        <f t="shared" si="180"/>
        <v>2642</v>
      </c>
      <c r="H275" s="10">
        <f t="shared" si="181"/>
        <v>1.2335352006056017</v>
      </c>
      <c r="I275" s="10">
        <f t="shared" si="182"/>
        <v>2895.8</v>
      </c>
      <c r="J275" s="10">
        <f t="shared" si="183"/>
        <v>1.1000000000000001</v>
      </c>
      <c r="K275" s="10">
        <f t="shared" si="184"/>
        <v>408</v>
      </c>
      <c r="L275" s="10" t="str">
        <f t="shared" si="185"/>
        <v>Y</v>
      </c>
      <c r="M275" s="10">
        <f t="shared" si="186"/>
        <v>2642</v>
      </c>
      <c r="N275" s="10">
        <f t="shared" si="187"/>
        <v>2642</v>
      </c>
      <c r="O275" s="10">
        <f t="shared" si="188"/>
        <v>0</v>
      </c>
      <c r="P275" s="10">
        <f t="shared" si="189"/>
        <v>2642</v>
      </c>
      <c r="Q275" s="10">
        <f t="shared" si="190"/>
        <v>2642</v>
      </c>
      <c r="R275" s="10" t="str">
        <f t="shared" si="191"/>
        <v>Yes</v>
      </c>
      <c r="S275" s="10">
        <f t="shared" si="192"/>
        <v>0</v>
      </c>
      <c r="T275" s="10">
        <f t="shared" si="193"/>
        <v>0</v>
      </c>
      <c r="U275" s="10">
        <f t="shared" si="194"/>
        <v>0</v>
      </c>
      <c r="V275" s="10">
        <f t="shared" si="195"/>
        <v>0</v>
      </c>
      <c r="W275" s="10">
        <f t="shared" si="196"/>
        <v>0</v>
      </c>
      <c r="X275" s="10">
        <f t="shared" si="197"/>
        <v>0</v>
      </c>
      <c r="Y275" s="10">
        <f t="shared" si="198"/>
        <v>0</v>
      </c>
      <c r="Z275" s="10">
        <f t="shared" si="199"/>
        <v>0</v>
      </c>
      <c r="AA275" s="10">
        <f t="shared" si="200"/>
        <v>0</v>
      </c>
      <c r="AB275" s="10">
        <f t="shared" si="201"/>
        <v>0</v>
      </c>
      <c r="AC275" s="10">
        <f t="shared" si="202"/>
        <v>0</v>
      </c>
      <c r="AD275" s="10">
        <f t="shared" si="203"/>
        <v>0</v>
      </c>
      <c r="AE275" s="10">
        <f t="shared" si="204"/>
        <v>0</v>
      </c>
      <c r="AF275" s="10">
        <f t="shared" si="205"/>
        <v>0</v>
      </c>
      <c r="AG275" s="10">
        <f t="shared" si="206"/>
        <v>0</v>
      </c>
      <c r="AH275" s="10">
        <f t="shared" si="207"/>
        <v>0</v>
      </c>
      <c r="AI275" s="10">
        <f t="shared" si="208"/>
        <v>0</v>
      </c>
      <c r="AJ275" s="10">
        <f t="shared" si="209"/>
        <v>0</v>
      </c>
      <c r="AK275" s="10">
        <f t="shared" si="210"/>
        <v>0</v>
      </c>
      <c r="AL275" s="10">
        <f t="shared" si="211"/>
        <v>0</v>
      </c>
      <c r="AM275" s="10">
        <f t="shared" si="212"/>
        <v>0</v>
      </c>
      <c r="AN275" s="46">
        <f t="shared" si="213"/>
        <v>0</v>
      </c>
      <c r="AO275" s="10">
        <f t="shared" si="214"/>
        <v>0</v>
      </c>
      <c r="AP275" s="10">
        <f t="shared" si="215"/>
        <v>0</v>
      </c>
      <c r="AQ275" s="10">
        <f t="shared" si="216"/>
        <v>0</v>
      </c>
      <c r="AR275" s="10">
        <f t="shared" si="217"/>
        <v>0</v>
      </c>
      <c r="AS275" s="10">
        <f t="shared" si="218"/>
        <v>0</v>
      </c>
      <c r="AT275" s="10">
        <f t="shared" si="219"/>
        <v>0</v>
      </c>
      <c r="AU275" s="10">
        <f t="shared" si="220"/>
        <v>0</v>
      </c>
      <c r="AV275" s="10">
        <f t="shared" si="221"/>
        <v>0</v>
      </c>
      <c r="AW275" s="10">
        <f t="shared" si="222"/>
        <v>0</v>
      </c>
      <c r="AX275" s="10">
        <f t="shared" si="223"/>
        <v>0</v>
      </c>
    </row>
    <row r="276" spans="1:50" x14ac:dyDescent="0.2">
      <c r="A276" s="8">
        <v>15270</v>
      </c>
      <c r="B276" s="89" t="str">
        <f t="shared" si="175"/>
        <v>Mid-Western Regional</v>
      </c>
      <c r="C276" s="9" t="str">
        <f t="shared" si="176"/>
        <v>NetWaste</v>
      </c>
      <c r="D276" s="51" t="str">
        <f t="shared" si="177"/>
        <v>N</v>
      </c>
      <c r="E276" s="10" t="str">
        <f t="shared" si="178"/>
        <v>OJO</v>
      </c>
      <c r="F276" s="10">
        <f t="shared" si="179"/>
        <v>25367</v>
      </c>
      <c r="G276" s="10">
        <f t="shared" si="180"/>
        <v>15594</v>
      </c>
      <c r="H276" s="10">
        <f t="shared" si="181"/>
        <v>1.6267154033602669</v>
      </c>
      <c r="I276" s="10">
        <f t="shared" si="182"/>
        <v>8752.2999999999993</v>
      </c>
      <c r="J276" s="10">
        <f t="shared" si="183"/>
        <v>2.9</v>
      </c>
      <c r="K276" s="10">
        <f t="shared" si="184"/>
        <v>297</v>
      </c>
      <c r="L276" s="10" t="str">
        <f t="shared" si="185"/>
        <v>Y</v>
      </c>
      <c r="M276" s="10">
        <f t="shared" si="186"/>
        <v>8048</v>
      </c>
      <c r="N276" s="10">
        <f t="shared" si="187"/>
        <v>8048</v>
      </c>
      <c r="O276" s="10">
        <f t="shared" si="188"/>
        <v>0</v>
      </c>
      <c r="P276" s="10">
        <f t="shared" si="189"/>
        <v>8048</v>
      </c>
      <c r="Q276" s="10">
        <f t="shared" si="190"/>
        <v>0</v>
      </c>
      <c r="R276" s="10" t="str">
        <f t="shared" si="191"/>
        <v>Yes</v>
      </c>
      <c r="S276" s="10" t="str">
        <f t="shared" si="192"/>
        <v>Mudgee Waste Facility 31 Blain Road, Caerleon,</v>
      </c>
      <c r="T276" s="10" t="str">
        <f t="shared" si="193"/>
        <v>Kandos Waste Transfer Station 110 Kandos Tip Road, Kandos</v>
      </c>
      <c r="U276" s="10" t="str">
        <f t="shared" si="194"/>
        <v>Rural Waste Transfer Stations x13</v>
      </c>
      <c r="V276" s="10">
        <f t="shared" si="195"/>
        <v>0</v>
      </c>
      <c r="W276" s="10">
        <f t="shared" si="196"/>
        <v>0</v>
      </c>
      <c r="X276" s="10">
        <f t="shared" si="197"/>
        <v>0</v>
      </c>
      <c r="Y276" s="10">
        <f t="shared" si="198"/>
        <v>0</v>
      </c>
      <c r="Z276" s="10">
        <f t="shared" si="199"/>
        <v>0</v>
      </c>
      <c r="AA276" s="10">
        <f t="shared" si="200"/>
        <v>0</v>
      </c>
      <c r="AB276" s="10">
        <f t="shared" si="201"/>
        <v>0</v>
      </c>
      <c r="AC276" s="10">
        <f t="shared" si="202"/>
        <v>0</v>
      </c>
      <c r="AD276" s="10">
        <f t="shared" si="203"/>
        <v>0</v>
      </c>
      <c r="AE276" s="10">
        <f t="shared" si="204"/>
        <v>0</v>
      </c>
      <c r="AF276" s="10">
        <f t="shared" si="205"/>
        <v>0</v>
      </c>
      <c r="AG276" s="10">
        <f t="shared" si="206"/>
        <v>0</v>
      </c>
      <c r="AH276" s="10">
        <f t="shared" si="207"/>
        <v>0</v>
      </c>
      <c r="AI276" s="10">
        <f t="shared" si="208"/>
        <v>0</v>
      </c>
      <c r="AJ276" s="10">
        <f t="shared" si="209"/>
        <v>0</v>
      </c>
      <c r="AK276" s="10">
        <f t="shared" si="210"/>
        <v>0</v>
      </c>
      <c r="AL276" s="10">
        <f t="shared" si="211"/>
        <v>0</v>
      </c>
      <c r="AM276" s="10">
        <f t="shared" si="212"/>
        <v>0</v>
      </c>
      <c r="AN276" s="46">
        <f t="shared" si="213"/>
        <v>0</v>
      </c>
      <c r="AO276" s="10">
        <f t="shared" si="214"/>
        <v>0</v>
      </c>
      <c r="AP276" s="10">
        <f t="shared" si="215"/>
        <v>0</v>
      </c>
      <c r="AQ276" s="10">
        <f t="shared" si="216"/>
        <v>0</v>
      </c>
      <c r="AR276" s="10">
        <f t="shared" si="217"/>
        <v>0</v>
      </c>
      <c r="AS276" s="10">
        <f t="shared" si="218"/>
        <v>0</v>
      </c>
      <c r="AT276" s="10">
        <f t="shared" si="219"/>
        <v>0</v>
      </c>
      <c r="AU276" s="10">
        <f t="shared" si="220"/>
        <v>0</v>
      </c>
      <c r="AV276" s="10">
        <f t="shared" si="221"/>
        <v>0</v>
      </c>
      <c r="AW276" s="10">
        <f t="shared" si="222"/>
        <v>0</v>
      </c>
      <c r="AX276" s="10">
        <f t="shared" si="223"/>
        <v>0</v>
      </c>
    </row>
    <row r="277" spans="1:50" x14ac:dyDescent="0.2">
      <c r="A277" s="8">
        <v>15300</v>
      </c>
      <c r="B277" s="89" t="str">
        <f t="shared" si="175"/>
        <v>Moree Plains</v>
      </c>
      <c r="C277" s="9" t="str">
        <f t="shared" si="176"/>
        <v>NIRW</v>
      </c>
      <c r="D277" s="51" t="str">
        <f t="shared" si="177"/>
        <v>N</v>
      </c>
      <c r="E277" s="10" t="str">
        <f t="shared" si="178"/>
        <v>NEJO</v>
      </c>
      <c r="F277" s="10">
        <f t="shared" si="179"/>
        <v>13077</v>
      </c>
      <c r="G277" s="10">
        <f t="shared" si="180"/>
        <v>6359</v>
      </c>
      <c r="H277" s="10">
        <f t="shared" si="181"/>
        <v>2.0564554175184777</v>
      </c>
      <c r="I277" s="10">
        <f t="shared" si="182"/>
        <v>17906.5</v>
      </c>
      <c r="J277" s="10">
        <f t="shared" si="183"/>
        <v>0.7</v>
      </c>
      <c r="K277" s="10">
        <f t="shared" si="184"/>
        <v>440</v>
      </c>
      <c r="L277" s="10" t="str">
        <f t="shared" si="185"/>
        <v>Y</v>
      </c>
      <c r="M277" s="10">
        <f t="shared" si="186"/>
        <v>6359</v>
      </c>
      <c r="N277" s="10">
        <f t="shared" si="187"/>
        <v>613</v>
      </c>
      <c r="O277" s="10">
        <f t="shared" si="188"/>
        <v>0</v>
      </c>
      <c r="P277" s="10">
        <f t="shared" si="189"/>
        <v>4658</v>
      </c>
      <c r="Q277" s="10">
        <f t="shared" si="190"/>
        <v>6359</v>
      </c>
      <c r="R277" s="10" t="str">
        <f t="shared" si="191"/>
        <v>Yes</v>
      </c>
      <c r="S277" s="10" t="str">
        <f t="shared" si="192"/>
        <v>Moree Waste Management Facility</v>
      </c>
      <c r="T277" s="10" t="str">
        <f t="shared" si="193"/>
        <v xml:space="preserve">Biniguy Landfill </v>
      </c>
      <c r="U277" s="10" t="str">
        <f t="shared" si="194"/>
        <v xml:space="preserve">Boggabilla Landfill </v>
      </c>
      <c r="V277" s="10" t="str">
        <f t="shared" si="195"/>
        <v>Boomi Landfill</v>
      </c>
      <c r="W277" s="10" t="str">
        <f t="shared" si="196"/>
        <v xml:space="preserve">Garah Landfill </v>
      </c>
      <c r="X277" s="10" t="str">
        <f t="shared" si="197"/>
        <v xml:space="preserve">Gurley Landfill </v>
      </c>
      <c r="Y277" s="10" t="str">
        <f t="shared" si="198"/>
        <v xml:space="preserve">Mungindi Landfill </v>
      </c>
      <c r="Z277" s="10">
        <f t="shared" si="199"/>
        <v>0</v>
      </c>
      <c r="AA277" s="10">
        <f t="shared" si="200"/>
        <v>0</v>
      </c>
      <c r="AB277" s="10">
        <f t="shared" si="201"/>
        <v>0</v>
      </c>
      <c r="AC277" s="10">
        <f t="shared" si="202"/>
        <v>0</v>
      </c>
      <c r="AD277" s="10">
        <f t="shared" si="203"/>
        <v>0</v>
      </c>
      <c r="AE277" s="10">
        <f t="shared" si="204"/>
        <v>0</v>
      </c>
      <c r="AF277" s="10">
        <f t="shared" si="205"/>
        <v>0</v>
      </c>
      <c r="AG277" s="10">
        <f t="shared" si="206"/>
        <v>0</v>
      </c>
      <c r="AH277" s="10">
        <f t="shared" si="207"/>
        <v>0</v>
      </c>
      <c r="AI277" s="10">
        <f t="shared" si="208"/>
        <v>0</v>
      </c>
      <c r="AJ277" s="10">
        <f t="shared" si="209"/>
        <v>0</v>
      </c>
      <c r="AK277" s="10">
        <f t="shared" si="210"/>
        <v>0</v>
      </c>
      <c r="AL277" s="10">
        <f t="shared" si="211"/>
        <v>0</v>
      </c>
      <c r="AM277" s="10">
        <f t="shared" si="212"/>
        <v>0</v>
      </c>
      <c r="AN277" s="46">
        <f t="shared" si="213"/>
        <v>0</v>
      </c>
      <c r="AO277" s="10">
        <f t="shared" si="214"/>
        <v>0</v>
      </c>
      <c r="AP277" s="10">
        <f t="shared" si="215"/>
        <v>0</v>
      </c>
      <c r="AQ277" s="10">
        <f t="shared" si="216"/>
        <v>0</v>
      </c>
      <c r="AR277" s="10">
        <f t="shared" si="217"/>
        <v>0</v>
      </c>
      <c r="AS277" s="10">
        <f t="shared" si="218"/>
        <v>0</v>
      </c>
      <c r="AT277" s="10">
        <f t="shared" si="219"/>
        <v>0</v>
      </c>
      <c r="AU277" s="10">
        <f t="shared" si="220"/>
        <v>0</v>
      </c>
      <c r="AV277" s="10">
        <f t="shared" si="221"/>
        <v>0</v>
      </c>
      <c r="AW277" s="10">
        <f t="shared" si="222"/>
        <v>0</v>
      </c>
      <c r="AX277" s="10">
        <f t="shared" si="223"/>
        <v>0</v>
      </c>
    </row>
    <row r="278" spans="1:50" x14ac:dyDescent="0.2">
      <c r="A278" s="8">
        <v>15520</v>
      </c>
      <c r="B278" s="89" t="str">
        <f t="shared" si="175"/>
        <v>Murray River</v>
      </c>
      <c r="C278" s="9" t="str">
        <f t="shared" si="176"/>
        <v>RAMJO Murray</v>
      </c>
      <c r="D278" s="51" t="str">
        <f t="shared" si="177"/>
        <v>N</v>
      </c>
      <c r="E278" s="10" t="str">
        <f t="shared" si="178"/>
        <v>RMJO</v>
      </c>
      <c r="F278" s="10">
        <f t="shared" si="179"/>
        <v>12330</v>
      </c>
      <c r="G278" s="10">
        <f t="shared" si="180"/>
        <v>8982</v>
      </c>
      <c r="H278" s="10">
        <f t="shared" si="181"/>
        <v>1.3727454909819639</v>
      </c>
      <c r="I278" s="10">
        <f t="shared" si="182"/>
        <v>11863.5</v>
      </c>
      <c r="J278" s="10">
        <f t="shared" si="183"/>
        <v>1</v>
      </c>
      <c r="K278" s="10">
        <f t="shared" si="184"/>
        <v>363.52</v>
      </c>
      <c r="L278" s="10" t="str">
        <f t="shared" si="185"/>
        <v>Y</v>
      </c>
      <c r="M278" s="10">
        <f t="shared" si="186"/>
        <v>5427</v>
      </c>
      <c r="N278" s="10">
        <f t="shared" si="187"/>
        <v>5271</v>
      </c>
      <c r="O278" s="10">
        <f t="shared" si="188"/>
        <v>2581</v>
      </c>
      <c r="P278" s="10">
        <f t="shared" si="189"/>
        <v>0</v>
      </c>
      <c r="Q278" s="10">
        <f t="shared" si="190"/>
        <v>0</v>
      </c>
      <c r="R278" s="10" t="str">
        <f t="shared" si="191"/>
        <v>Yes</v>
      </c>
      <c r="S278" s="10" t="str">
        <f t="shared" si="192"/>
        <v>Moama Waste Management facility</v>
      </c>
      <c r="T278" s="10" t="str">
        <f t="shared" si="193"/>
        <v>Goodnight TS</v>
      </c>
      <c r="U278" s="10" t="str">
        <f t="shared" si="194"/>
        <v>Koraleigh Landfill</v>
      </c>
      <c r="V278" s="10" t="str">
        <f t="shared" si="195"/>
        <v>Moulamein Landfill</v>
      </c>
      <c r="W278" s="10" t="str">
        <f t="shared" si="196"/>
        <v>Wakool Landfill</v>
      </c>
      <c r="X278" s="10" t="str">
        <f t="shared" si="197"/>
        <v>Barham TS</v>
      </c>
      <c r="Y278" s="10" t="str">
        <f t="shared" si="198"/>
        <v>Mathoura TS</v>
      </c>
      <c r="Z278" s="10">
        <f t="shared" si="199"/>
        <v>0</v>
      </c>
      <c r="AA278" s="10">
        <f t="shared" si="200"/>
        <v>0</v>
      </c>
      <c r="AB278" s="10">
        <f t="shared" si="201"/>
        <v>0</v>
      </c>
      <c r="AC278" s="10">
        <f t="shared" si="202"/>
        <v>0</v>
      </c>
      <c r="AD278" s="10">
        <f t="shared" si="203"/>
        <v>0</v>
      </c>
      <c r="AE278" s="10">
        <f t="shared" si="204"/>
        <v>0</v>
      </c>
      <c r="AF278" s="10">
        <f t="shared" si="205"/>
        <v>0</v>
      </c>
      <c r="AG278" s="10">
        <f t="shared" si="206"/>
        <v>0</v>
      </c>
      <c r="AH278" s="10">
        <f t="shared" si="207"/>
        <v>0</v>
      </c>
      <c r="AI278" s="10">
        <f t="shared" si="208"/>
        <v>0</v>
      </c>
      <c r="AJ278" s="10">
        <f t="shared" si="209"/>
        <v>0</v>
      </c>
      <c r="AK278" s="10">
        <f t="shared" si="210"/>
        <v>0</v>
      </c>
      <c r="AL278" s="10">
        <f t="shared" si="211"/>
        <v>0</v>
      </c>
      <c r="AM278" s="10">
        <f t="shared" si="212"/>
        <v>0</v>
      </c>
      <c r="AN278" s="46">
        <f t="shared" si="213"/>
        <v>0</v>
      </c>
      <c r="AO278" s="10">
        <f t="shared" si="214"/>
        <v>0</v>
      </c>
      <c r="AP278" s="10">
        <f t="shared" si="215"/>
        <v>0</v>
      </c>
      <c r="AQ278" s="10">
        <f t="shared" si="216"/>
        <v>0</v>
      </c>
      <c r="AR278" s="10">
        <f t="shared" si="217"/>
        <v>0</v>
      </c>
      <c r="AS278" s="10">
        <f t="shared" si="218"/>
        <v>0</v>
      </c>
      <c r="AT278" s="10">
        <f t="shared" si="219"/>
        <v>0</v>
      </c>
      <c r="AU278" s="10">
        <f t="shared" si="220"/>
        <v>0</v>
      </c>
      <c r="AV278" s="10">
        <f t="shared" si="221"/>
        <v>0</v>
      </c>
      <c r="AW278" s="10">
        <f t="shared" si="222"/>
        <v>0</v>
      </c>
      <c r="AX278" s="10">
        <f t="shared" si="223"/>
        <v>0</v>
      </c>
    </row>
    <row r="279" spans="1:50" x14ac:dyDescent="0.2">
      <c r="A279" s="8">
        <v>15560</v>
      </c>
      <c r="B279" s="89" t="str">
        <f t="shared" si="175"/>
        <v>Murrumbidgee</v>
      </c>
      <c r="C279" s="9" t="str">
        <f t="shared" si="176"/>
        <v>RAMJO Riverina</v>
      </c>
      <c r="D279" s="51" t="str">
        <f t="shared" si="177"/>
        <v>N</v>
      </c>
      <c r="E279" s="10" t="str">
        <f t="shared" si="178"/>
        <v>RMJO</v>
      </c>
      <c r="F279" s="10">
        <f t="shared" si="179"/>
        <v>3916</v>
      </c>
      <c r="G279" s="10">
        <f t="shared" si="180"/>
        <v>2613</v>
      </c>
      <c r="H279" s="10">
        <f t="shared" si="181"/>
        <v>1.4986605434366629</v>
      </c>
      <c r="I279" s="10">
        <f t="shared" si="182"/>
        <v>6880.8</v>
      </c>
      <c r="J279" s="10">
        <f t="shared" si="183"/>
        <v>0.6</v>
      </c>
      <c r="K279" s="10">
        <f t="shared" si="184"/>
        <v>290</v>
      </c>
      <c r="L279" s="10" t="str">
        <f t="shared" si="185"/>
        <v>Y</v>
      </c>
      <c r="M279" s="10">
        <f t="shared" si="186"/>
        <v>941</v>
      </c>
      <c r="N279" s="10">
        <f t="shared" si="187"/>
        <v>811</v>
      </c>
      <c r="O279" s="10">
        <f t="shared" si="188"/>
        <v>0</v>
      </c>
      <c r="P279" s="10">
        <f t="shared" si="189"/>
        <v>0</v>
      </c>
      <c r="Q279" s="10">
        <f t="shared" si="190"/>
        <v>2613</v>
      </c>
      <c r="R279" s="10" t="str">
        <f t="shared" si="191"/>
        <v>Yes</v>
      </c>
      <c r="S279" s="10" t="str">
        <f t="shared" si="192"/>
        <v>Jerilderie Tip</v>
      </c>
      <c r="T279" s="10" t="str">
        <f t="shared" si="193"/>
        <v>Jerilderie Common Tip</v>
      </c>
      <c r="U279" s="10" t="str">
        <f t="shared" si="194"/>
        <v>Darlington Point Garbage Depot</v>
      </c>
      <c r="V279" s="10" t="str">
        <f t="shared" si="195"/>
        <v>Coleambally Garbage Depot</v>
      </c>
      <c r="W279" s="10">
        <f t="shared" si="196"/>
        <v>0</v>
      </c>
      <c r="X279" s="10">
        <f t="shared" si="197"/>
        <v>0</v>
      </c>
      <c r="Y279" s="10">
        <f t="shared" si="198"/>
        <v>0</v>
      </c>
      <c r="Z279" s="10">
        <f t="shared" si="199"/>
        <v>0</v>
      </c>
      <c r="AA279" s="10">
        <f t="shared" si="200"/>
        <v>0</v>
      </c>
      <c r="AB279" s="10">
        <f t="shared" si="201"/>
        <v>0</v>
      </c>
      <c r="AC279" s="10">
        <f t="shared" si="202"/>
        <v>0</v>
      </c>
      <c r="AD279" s="10">
        <f t="shared" si="203"/>
        <v>0</v>
      </c>
      <c r="AE279" s="10">
        <f t="shared" si="204"/>
        <v>0</v>
      </c>
      <c r="AF279" s="10">
        <f t="shared" si="205"/>
        <v>0</v>
      </c>
      <c r="AG279" s="10">
        <f t="shared" si="206"/>
        <v>0</v>
      </c>
      <c r="AH279" s="10">
        <f t="shared" si="207"/>
        <v>0</v>
      </c>
      <c r="AI279" s="10">
        <f t="shared" si="208"/>
        <v>0</v>
      </c>
      <c r="AJ279" s="10">
        <f t="shared" si="209"/>
        <v>0</v>
      </c>
      <c r="AK279" s="10">
        <f t="shared" si="210"/>
        <v>0</v>
      </c>
      <c r="AL279" s="10">
        <f t="shared" si="211"/>
        <v>0</v>
      </c>
      <c r="AM279" s="10">
        <f t="shared" si="212"/>
        <v>0</v>
      </c>
      <c r="AN279" s="46">
        <f t="shared" si="213"/>
        <v>0</v>
      </c>
      <c r="AO279" s="10">
        <f t="shared" si="214"/>
        <v>0</v>
      </c>
      <c r="AP279" s="10">
        <f t="shared" si="215"/>
        <v>0</v>
      </c>
      <c r="AQ279" s="10">
        <f t="shared" si="216"/>
        <v>0</v>
      </c>
      <c r="AR279" s="10">
        <f t="shared" si="217"/>
        <v>0</v>
      </c>
      <c r="AS279" s="10">
        <f t="shared" si="218"/>
        <v>0</v>
      </c>
      <c r="AT279" s="10">
        <f t="shared" si="219"/>
        <v>0</v>
      </c>
      <c r="AU279" s="10">
        <f t="shared" si="220"/>
        <v>0</v>
      </c>
      <c r="AV279" s="10">
        <f t="shared" si="221"/>
        <v>0</v>
      </c>
      <c r="AW279" s="10">
        <f t="shared" si="222"/>
        <v>0</v>
      </c>
      <c r="AX279" s="10">
        <f t="shared" si="223"/>
        <v>0</v>
      </c>
    </row>
    <row r="280" spans="1:50" x14ac:dyDescent="0.2">
      <c r="A280" s="8">
        <v>15750</v>
      </c>
      <c r="B280" s="89" t="str">
        <f t="shared" si="175"/>
        <v>Narrabri</v>
      </c>
      <c r="C280" s="9" t="str">
        <f t="shared" si="176"/>
        <v>NIRW</v>
      </c>
      <c r="D280" s="51" t="str">
        <f t="shared" si="177"/>
        <v>N</v>
      </c>
      <c r="E280" s="10" t="str">
        <f t="shared" si="178"/>
        <v>NEJO</v>
      </c>
      <c r="F280" s="10">
        <f t="shared" si="179"/>
        <v>13049</v>
      </c>
      <c r="G280" s="10">
        <f t="shared" si="180"/>
        <v>6857</v>
      </c>
      <c r="H280" s="10">
        <f t="shared" si="181"/>
        <v>1.9030188128919352</v>
      </c>
      <c r="I280" s="10">
        <f t="shared" si="182"/>
        <v>13015</v>
      </c>
      <c r="J280" s="10">
        <f t="shared" si="183"/>
        <v>1</v>
      </c>
      <c r="K280" s="10">
        <f t="shared" si="184"/>
        <v>330</v>
      </c>
      <c r="L280" s="10" t="str">
        <f t="shared" si="185"/>
        <v>Y</v>
      </c>
      <c r="M280" s="10">
        <f t="shared" si="186"/>
        <v>4362</v>
      </c>
      <c r="N280" s="10">
        <f t="shared" si="187"/>
        <v>4294</v>
      </c>
      <c r="O280" s="10">
        <f t="shared" si="188"/>
        <v>0</v>
      </c>
      <c r="P280" s="10">
        <f t="shared" si="189"/>
        <v>4294</v>
      </c>
      <c r="Q280" s="10">
        <f t="shared" si="190"/>
        <v>6857</v>
      </c>
      <c r="R280" s="10" t="str">
        <f t="shared" si="191"/>
        <v>Yes</v>
      </c>
      <c r="S280" s="10" t="str">
        <f t="shared" si="192"/>
        <v>9 shire transfer stations</v>
      </c>
      <c r="T280" s="10">
        <f t="shared" si="193"/>
        <v>0</v>
      </c>
      <c r="U280" s="10">
        <f t="shared" si="194"/>
        <v>0</v>
      </c>
      <c r="V280" s="10">
        <f t="shared" si="195"/>
        <v>0</v>
      </c>
      <c r="W280" s="10">
        <f t="shared" si="196"/>
        <v>0</v>
      </c>
      <c r="X280" s="10">
        <f t="shared" si="197"/>
        <v>0</v>
      </c>
      <c r="Y280" s="10">
        <f t="shared" si="198"/>
        <v>0</v>
      </c>
      <c r="Z280" s="10">
        <f t="shared" si="199"/>
        <v>0</v>
      </c>
      <c r="AA280" s="10">
        <f t="shared" si="200"/>
        <v>0</v>
      </c>
      <c r="AB280" s="10">
        <f t="shared" si="201"/>
        <v>0</v>
      </c>
      <c r="AC280" s="10">
        <f t="shared" si="202"/>
        <v>0</v>
      </c>
      <c r="AD280" s="10">
        <f t="shared" si="203"/>
        <v>0</v>
      </c>
      <c r="AE280" s="10">
        <f t="shared" si="204"/>
        <v>0</v>
      </c>
      <c r="AF280" s="10">
        <f t="shared" si="205"/>
        <v>0</v>
      </c>
      <c r="AG280" s="10">
        <f t="shared" si="206"/>
        <v>0</v>
      </c>
      <c r="AH280" s="10">
        <f t="shared" si="207"/>
        <v>0</v>
      </c>
      <c r="AI280" s="10">
        <f t="shared" si="208"/>
        <v>0</v>
      </c>
      <c r="AJ280" s="10">
        <f t="shared" si="209"/>
        <v>0</v>
      </c>
      <c r="AK280" s="10">
        <f t="shared" si="210"/>
        <v>0</v>
      </c>
      <c r="AL280" s="10">
        <f t="shared" si="211"/>
        <v>0</v>
      </c>
      <c r="AM280" s="10">
        <f t="shared" si="212"/>
        <v>0</v>
      </c>
      <c r="AN280" s="46">
        <f t="shared" si="213"/>
        <v>0</v>
      </c>
      <c r="AO280" s="10">
        <f t="shared" si="214"/>
        <v>0</v>
      </c>
      <c r="AP280" s="10">
        <f t="shared" si="215"/>
        <v>0</v>
      </c>
      <c r="AQ280" s="10">
        <f t="shared" si="216"/>
        <v>0</v>
      </c>
      <c r="AR280" s="10">
        <f t="shared" si="217"/>
        <v>0</v>
      </c>
      <c r="AS280" s="10">
        <f t="shared" si="218"/>
        <v>0</v>
      </c>
      <c r="AT280" s="10">
        <f t="shared" si="219"/>
        <v>0</v>
      </c>
      <c r="AU280" s="10">
        <f t="shared" si="220"/>
        <v>0</v>
      </c>
      <c r="AV280" s="10">
        <f t="shared" si="221"/>
        <v>0</v>
      </c>
      <c r="AW280" s="10">
        <f t="shared" si="222"/>
        <v>0</v>
      </c>
      <c r="AX280" s="10">
        <f t="shared" si="223"/>
        <v>0</v>
      </c>
    </row>
    <row r="281" spans="1:50" x14ac:dyDescent="0.2">
      <c r="A281" s="8">
        <v>15800</v>
      </c>
      <c r="B281" s="89" t="str">
        <f t="shared" si="175"/>
        <v>Narrandera</v>
      </c>
      <c r="C281" s="9" t="str">
        <f t="shared" si="176"/>
        <v>RAMJO Riverina</v>
      </c>
      <c r="D281" s="51" t="str">
        <f t="shared" si="177"/>
        <v>N</v>
      </c>
      <c r="E281" s="10" t="str">
        <f t="shared" si="178"/>
        <v>RMJO</v>
      </c>
      <c r="F281" s="10">
        <f t="shared" si="179"/>
        <v>5858</v>
      </c>
      <c r="G281" s="10">
        <f t="shared" si="180"/>
        <v>2575</v>
      </c>
      <c r="H281" s="10">
        <f t="shared" si="181"/>
        <v>2.2749514563106796</v>
      </c>
      <c r="I281" s="10">
        <f t="shared" si="182"/>
        <v>4116.3</v>
      </c>
      <c r="J281" s="10">
        <f t="shared" si="183"/>
        <v>1.4</v>
      </c>
      <c r="K281" s="10">
        <f t="shared" si="184"/>
        <v>221.8</v>
      </c>
      <c r="L281" s="10" t="str">
        <f t="shared" si="185"/>
        <v>Y</v>
      </c>
      <c r="M281" s="10">
        <f t="shared" si="186"/>
        <v>2575</v>
      </c>
      <c r="N281" s="10">
        <f t="shared" si="187"/>
        <v>2156</v>
      </c>
      <c r="O281" s="10">
        <f t="shared" si="188"/>
        <v>0</v>
      </c>
      <c r="P281" s="10">
        <f t="shared" si="189"/>
        <v>0</v>
      </c>
      <c r="Q281" s="10">
        <f t="shared" si="190"/>
        <v>2575</v>
      </c>
      <c r="R281" s="10" t="str">
        <f t="shared" si="191"/>
        <v>Yes</v>
      </c>
      <c r="S281" s="10" t="str">
        <f t="shared" si="192"/>
        <v>Narrandera Landfill</v>
      </c>
      <c r="T281" s="10" t="str">
        <f t="shared" si="193"/>
        <v>Barellan Landfill</v>
      </c>
      <c r="U281" s="10">
        <f t="shared" si="194"/>
        <v>0</v>
      </c>
      <c r="V281" s="10">
        <f t="shared" si="195"/>
        <v>0</v>
      </c>
      <c r="W281" s="10">
        <f t="shared" si="196"/>
        <v>0</v>
      </c>
      <c r="X281" s="10">
        <f t="shared" si="197"/>
        <v>0</v>
      </c>
      <c r="Y281" s="10">
        <f t="shared" si="198"/>
        <v>0</v>
      </c>
      <c r="Z281" s="10">
        <f t="shared" si="199"/>
        <v>0</v>
      </c>
      <c r="AA281" s="10">
        <f t="shared" si="200"/>
        <v>0</v>
      </c>
      <c r="AB281" s="10">
        <f t="shared" si="201"/>
        <v>0</v>
      </c>
      <c r="AC281" s="10">
        <f t="shared" si="202"/>
        <v>0</v>
      </c>
      <c r="AD281" s="10">
        <f t="shared" si="203"/>
        <v>0</v>
      </c>
      <c r="AE281" s="10">
        <f t="shared" si="204"/>
        <v>0</v>
      </c>
      <c r="AF281" s="10">
        <f t="shared" si="205"/>
        <v>0</v>
      </c>
      <c r="AG281" s="10">
        <f t="shared" si="206"/>
        <v>0</v>
      </c>
      <c r="AH281" s="10">
        <f t="shared" si="207"/>
        <v>0</v>
      </c>
      <c r="AI281" s="10">
        <f t="shared" si="208"/>
        <v>0</v>
      </c>
      <c r="AJ281" s="10">
        <f t="shared" si="209"/>
        <v>0</v>
      </c>
      <c r="AK281" s="10">
        <f t="shared" si="210"/>
        <v>0</v>
      </c>
      <c r="AL281" s="10">
        <f t="shared" si="211"/>
        <v>0</v>
      </c>
      <c r="AM281" s="10">
        <f t="shared" si="212"/>
        <v>0</v>
      </c>
      <c r="AN281" s="46">
        <f t="shared" si="213"/>
        <v>0</v>
      </c>
      <c r="AO281" s="10">
        <f t="shared" si="214"/>
        <v>0</v>
      </c>
      <c r="AP281" s="10">
        <f t="shared" si="215"/>
        <v>0</v>
      </c>
      <c r="AQ281" s="10">
        <f t="shared" si="216"/>
        <v>0</v>
      </c>
      <c r="AR281" s="10">
        <f t="shared" si="217"/>
        <v>0</v>
      </c>
      <c r="AS281" s="10">
        <f t="shared" si="218"/>
        <v>0</v>
      </c>
      <c r="AT281" s="10">
        <f t="shared" si="219"/>
        <v>0</v>
      </c>
      <c r="AU281" s="10">
        <f t="shared" si="220"/>
        <v>0</v>
      </c>
      <c r="AV281" s="10">
        <f t="shared" si="221"/>
        <v>0</v>
      </c>
      <c r="AW281" s="10">
        <f t="shared" si="222"/>
        <v>0</v>
      </c>
      <c r="AX281" s="10">
        <f t="shared" si="223"/>
        <v>0</v>
      </c>
    </row>
    <row r="282" spans="1:50" x14ac:dyDescent="0.2">
      <c r="A282" s="8">
        <v>15850</v>
      </c>
      <c r="B282" s="89" t="str">
        <f t="shared" si="175"/>
        <v>Narromine</v>
      </c>
      <c r="C282" s="9" t="str">
        <f t="shared" si="176"/>
        <v>NetWaste</v>
      </c>
      <c r="D282" s="51" t="str">
        <f t="shared" si="177"/>
        <v>N</v>
      </c>
      <c r="E282" s="10" t="str">
        <f t="shared" si="178"/>
        <v>OJO</v>
      </c>
      <c r="F282" s="10">
        <f t="shared" si="179"/>
        <v>6460</v>
      </c>
      <c r="G282" s="10">
        <f t="shared" si="180"/>
        <v>3363</v>
      </c>
      <c r="H282" s="10">
        <f t="shared" si="181"/>
        <v>1.9209039548022599</v>
      </c>
      <c r="I282" s="10">
        <f t="shared" si="182"/>
        <v>5261.5</v>
      </c>
      <c r="J282" s="10">
        <f t="shared" si="183"/>
        <v>1.2</v>
      </c>
      <c r="K282" s="10">
        <f t="shared" si="184"/>
        <v>584</v>
      </c>
      <c r="L282" s="10" t="str">
        <f t="shared" si="185"/>
        <v>Y</v>
      </c>
      <c r="M282" s="10">
        <f t="shared" si="186"/>
        <v>2049</v>
      </c>
      <c r="N282" s="10">
        <f t="shared" si="187"/>
        <v>1935</v>
      </c>
      <c r="O282" s="10">
        <f t="shared" si="188"/>
        <v>0</v>
      </c>
      <c r="P282" s="10">
        <f t="shared" si="189"/>
        <v>1935</v>
      </c>
      <c r="Q282" s="10">
        <f t="shared" si="190"/>
        <v>3363</v>
      </c>
      <c r="R282" s="10" t="str">
        <f t="shared" si="191"/>
        <v>No</v>
      </c>
      <c r="S282" s="10">
        <f t="shared" si="192"/>
        <v>0</v>
      </c>
      <c r="T282" s="10">
        <f t="shared" si="193"/>
        <v>0</v>
      </c>
      <c r="U282" s="10">
        <f t="shared" si="194"/>
        <v>0</v>
      </c>
      <c r="V282" s="10">
        <f t="shared" si="195"/>
        <v>0</v>
      </c>
      <c r="W282" s="10">
        <f t="shared" si="196"/>
        <v>0</v>
      </c>
      <c r="X282" s="10">
        <f t="shared" si="197"/>
        <v>0</v>
      </c>
      <c r="Y282" s="10">
        <f t="shared" si="198"/>
        <v>0</v>
      </c>
      <c r="Z282" s="10">
        <f t="shared" si="199"/>
        <v>0</v>
      </c>
      <c r="AA282" s="10">
        <f t="shared" si="200"/>
        <v>0</v>
      </c>
      <c r="AB282" s="10">
        <f t="shared" si="201"/>
        <v>0</v>
      </c>
      <c r="AC282" s="10">
        <f t="shared" si="202"/>
        <v>0</v>
      </c>
      <c r="AD282" s="10">
        <f t="shared" si="203"/>
        <v>0</v>
      </c>
      <c r="AE282" s="10">
        <f t="shared" si="204"/>
        <v>0</v>
      </c>
      <c r="AF282" s="10">
        <f t="shared" si="205"/>
        <v>0</v>
      </c>
      <c r="AG282" s="10">
        <f t="shared" si="206"/>
        <v>0</v>
      </c>
      <c r="AH282" s="10">
        <f t="shared" si="207"/>
        <v>0</v>
      </c>
      <c r="AI282" s="10">
        <f t="shared" si="208"/>
        <v>0</v>
      </c>
      <c r="AJ282" s="10">
        <f t="shared" si="209"/>
        <v>0</v>
      </c>
      <c r="AK282" s="10">
        <f t="shared" si="210"/>
        <v>0</v>
      </c>
      <c r="AL282" s="10">
        <f t="shared" si="211"/>
        <v>0</v>
      </c>
      <c r="AM282" s="10">
        <f t="shared" si="212"/>
        <v>0</v>
      </c>
      <c r="AN282" s="46">
        <f t="shared" si="213"/>
        <v>0</v>
      </c>
      <c r="AO282" s="10">
        <f t="shared" si="214"/>
        <v>0</v>
      </c>
      <c r="AP282" s="10">
        <f t="shared" si="215"/>
        <v>0</v>
      </c>
      <c r="AQ282" s="10">
        <f t="shared" si="216"/>
        <v>0</v>
      </c>
      <c r="AR282" s="10">
        <f t="shared" si="217"/>
        <v>0</v>
      </c>
      <c r="AS282" s="10">
        <f t="shared" si="218"/>
        <v>0</v>
      </c>
      <c r="AT282" s="10">
        <f t="shared" si="219"/>
        <v>0</v>
      </c>
      <c r="AU282" s="10">
        <f t="shared" si="220"/>
        <v>0</v>
      </c>
      <c r="AV282" s="10">
        <f t="shared" si="221"/>
        <v>0</v>
      </c>
      <c r="AW282" s="10">
        <f t="shared" si="222"/>
        <v>0</v>
      </c>
      <c r="AX282" s="10">
        <f t="shared" si="223"/>
        <v>0</v>
      </c>
    </row>
    <row r="283" spans="1:50" x14ac:dyDescent="0.2">
      <c r="A283" s="8">
        <v>16100</v>
      </c>
      <c r="B283" s="89" t="str">
        <f t="shared" si="175"/>
        <v>Oberon</v>
      </c>
      <c r="C283" s="9" t="str">
        <f t="shared" si="176"/>
        <v>NetWaste</v>
      </c>
      <c r="D283" s="51" t="str">
        <f t="shared" si="177"/>
        <v>N</v>
      </c>
      <c r="E283" s="10" t="str">
        <f t="shared" si="178"/>
        <v>CNJO</v>
      </c>
      <c r="F283" s="10">
        <f t="shared" si="179"/>
        <v>5419</v>
      </c>
      <c r="G283" s="10">
        <f t="shared" si="180"/>
        <v>3931</v>
      </c>
      <c r="H283" s="10">
        <f t="shared" si="181"/>
        <v>1.3785296362248791</v>
      </c>
      <c r="I283" s="10">
        <f t="shared" si="182"/>
        <v>3625</v>
      </c>
      <c r="J283" s="10">
        <f t="shared" si="183"/>
        <v>1.5</v>
      </c>
      <c r="K283" s="10">
        <f t="shared" si="184"/>
        <v>213</v>
      </c>
      <c r="L283" s="10" t="str">
        <f t="shared" si="185"/>
        <v>Y</v>
      </c>
      <c r="M283" s="10">
        <f t="shared" si="186"/>
        <v>1498</v>
      </c>
      <c r="N283" s="10">
        <f t="shared" si="187"/>
        <v>0</v>
      </c>
      <c r="O283" s="10">
        <f t="shared" si="188"/>
        <v>0</v>
      </c>
      <c r="P283" s="10">
        <f t="shared" si="189"/>
        <v>0</v>
      </c>
      <c r="Q283" s="10">
        <f t="shared" si="190"/>
        <v>3931</v>
      </c>
      <c r="R283" s="10" t="str">
        <f t="shared" si="191"/>
        <v>Yes</v>
      </c>
      <c r="S283" s="10" t="str">
        <f t="shared" si="192"/>
        <v>Oberon</v>
      </c>
      <c r="T283" s="10" t="str">
        <f t="shared" si="193"/>
        <v>Burraga</v>
      </c>
      <c r="U283" s="10" t="str">
        <f t="shared" si="194"/>
        <v>Black Springs</v>
      </c>
      <c r="V283" s="10">
        <f t="shared" si="195"/>
        <v>0</v>
      </c>
      <c r="W283" s="10">
        <f t="shared" si="196"/>
        <v>0</v>
      </c>
      <c r="X283" s="10">
        <f t="shared" si="197"/>
        <v>0</v>
      </c>
      <c r="Y283" s="10">
        <f t="shared" si="198"/>
        <v>0</v>
      </c>
      <c r="Z283" s="10">
        <f t="shared" si="199"/>
        <v>0</v>
      </c>
      <c r="AA283" s="10">
        <f t="shared" si="200"/>
        <v>0</v>
      </c>
      <c r="AB283" s="10">
        <f t="shared" si="201"/>
        <v>0</v>
      </c>
      <c r="AC283" s="10">
        <f t="shared" si="202"/>
        <v>0</v>
      </c>
      <c r="AD283" s="10">
        <f t="shared" si="203"/>
        <v>0</v>
      </c>
      <c r="AE283" s="10">
        <f t="shared" si="204"/>
        <v>0</v>
      </c>
      <c r="AF283" s="10">
        <f t="shared" si="205"/>
        <v>0</v>
      </c>
      <c r="AG283" s="10">
        <f t="shared" si="206"/>
        <v>0</v>
      </c>
      <c r="AH283" s="10">
        <f t="shared" si="207"/>
        <v>0</v>
      </c>
      <c r="AI283" s="10">
        <f t="shared" si="208"/>
        <v>0</v>
      </c>
      <c r="AJ283" s="10">
        <f t="shared" si="209"/>
        <v>0</v>
      </c>
      <c r="AK283" s="10">
        <f t="shared" si="210"/>
        <v>0</v>
      </c>
      <c r="AL283" s="10">
        <f t="shared" si="211"/>
        <v>0</v>
      </c>
      <c r="AM283" s="10">
        <f t="shared" si="212"/>
        <v>0</v>
      </c>
      <c r="AN283" s="46">
        <f t="shared" si="213"/>
        <v>0</v>
      </c>
      <c r="AO283" s="10">
        <f t="shared" si="214"/>
        <v>0</v>
      </c>
      <c r="AP283" s="10">
        <f t="shared" si="215"/>
        <v>0</v>
      </c>
      <c r="AQ283" s="10">
        <f t="shared" si="216"/>
        <v>0</v>
      </c>
      <c r="AR283" s="10">
        <f t="shared" si="217"/>
        <v>0</v>
      </c>
      <c r="AS283" s="10">
        <f t="shared" si="218"/>
        <v>0</v>
      </c>
      <c r="AT283" s="10">
        <f t="shared" si="219"/>
        <v>0</v>
      </c>
      <c r="AU283" s="10">
        <f t="shared" si="220"/>
        <v>0</v>
      </c>
      <c r="AV283" s="10">
        <f t="shared" si="221"/>
        <v>0</v>
      </c>
      <c r="AW283" s="10">
        <f t="shared" si="222"/>
        <v>0</v>
      </c>
      <c r="AX283" s="10">
        <f t="shared" si="223"/>
        <v>0</v>
      </c>
    </row>
    <row r="284" spans="1:50" x14ac:dyDescent="0.2">
      <c r="A284" s="8">
        <v>16150</v>
      </c>
      <c r="B284" s="89" t="str">
        <f t="shared" si="175"/>
        <v>Orange</v>
      </c>
      <c r="C284" s="9" t="str">
        <f t="shared" si="176"/>
        <v>NetWaste</v>
      </c>
      <c r="D284" s="51" t="str">
        <f t="shared" si="177"/>
        <v>N</v>
      </c>
      <c r="E284" s="10" t="str">
        <f t="shared" si="178"/>
        <v>CNJO</v>
      </c>
      <c r="F284" s="10">
        <f t="shared" si="179"/>
        <v>42503</v>
      </c>
      <c r="G284" s="10">
        <f t="shared" si="180"/>
        <v>19213</v>
      </c>
      <c r="H284" s="10">
        <f t="shared" si="181"/>
        <v>2.2122000728673292</v>
      </c>
      <c r="I284" s="10">
        <f t="shared" si="182"/>
        <v>284.2</v>
      </c>
      <c r="J284" s="10">
        <f t="shared" si="183"/>
        <v>149.5</v>
      </c>
      <c r="K284" s="10">
        <f t="shared" si="184"/>
        <v>445.35</v>
      </c>
      <c r="L284" s="10" t="str">
        <f t="shared" si="185"/>
        <v>Y</v>
      </c>
      <c r="M284" s="10">
        <f t="shared" si="186"/>
        <v>16745</v>
      </c>
      <c r="N284" s="10">
        <f t="shared" si="187"/>
        <v>16739</v>
      </c>
      <c r="O284" s="10">
        <f t="shared" si="188"/>
        <v>0</v>
      </c>
      <c r="P284" s="10">
        <f t="shared" si="189"/>
        <v>17061</v>
      </c>
      <c r="Q284" s="10">
        <f t="shared" si="190"/>
        <v>19213</v>
      </c>
      <c r="R284" s="10" t="str">
        <f t="shared" si="191"/>
        <v>Yes</v>
      </c>
      <c r="S284" s="10" t="str">
        <f t="shared" si="192"/>
        <v>RRC Bins - Ophir Road Resource Recovery Centre, 261 Ophir Road Orange</v>
      </c>
      <c r="T284" s="10" t="str">
        <f t="shared" si="193"/>
        <v>CRC - Ophir Road Resource Recovery Centre, 261 Ophir Road Orange</v>
      </c>
      <c r="U284" s="10">
        <f t="shared" si="194"/>
        <v>0</v>
      </c>
      <c r="V284" s="10">
        <f t="shared" si="195"/>
        <v>0</v>
      </c>
      <c r="W284" s="10">
        <f t="shared" si="196"/>
        <v>0</v>
      </c>
      <c r="X284" s="10">
        <f t="shared" si="197"/>
        <v>0</v>
      </c>
      <c r="Y284" s="10">
        <f t="shared" si="198"/>
        <v>0</v>
      </c>
      <c r="Z284" s="10">
        <f t="shared" si="199"/>
        <v>0</v>
      </c>
      <c r="AA284" s="10">
        <f t="shared" si="200"/>
        <v>0</v>
      </c>
      <c r="AB284" s="10">
        <f t="shared" si="201"/>
        <v>0</v>
      </c>
      <c r="AC284" s="10">
        <f t="shared" si="202"/>
        <v>0</v>
      </c>
      <c r="AD284" s="10">
        <f t="shared" si="203"/>
        <v>0</v>
      </c>
      <c r="AE284" s="10">
        <f t="shared" si="204"/>
        <v>0</v>
      </c>
      <c r="AF284" s="10">
        <f t="shared" si="205"/>
        <v>0</v>
      </c>
      <c r="AG284" s="10">
        <f t="shared" si="206"/>
        <v>0</v>
      </c>
      <c r="AH284" s="10">
        <f t="shared" si="207"/>
        <v>0</v>
      </c>
      <c r="AI284" s="10">
        <f t="shared" si="208"/>
        <v>0</v>
      </c>
      <c r="AJ284" s="10">
        <f t="shared" si="209"/>
        <v>0</v>
      </c>
      <c r="AK284" s="10">
        <f t="shared" si="210"/>
        <v>0</v>
      </c>
      <c r="AL284" s="10">
        <f t="shared" si="211"/>
        <v>0</v>
      </c>
      <c r="AM284" s="10">
        <f t="shared" si="212"/>
        <v>0</v>
      </c>
      <c r="AN284" s="46">
        <f t="shared" si="213"/>
        <v>0</v>
      </c>
      <c r="AO284" s="10">
        <f t="shared" si="214"/>
        <v>0</v>
      </c>
      <c r="AP284" s="10">
        <f t="shared" si="215"/>
        <v>0</v>
      </c>
      <c r="AQ284" s="10">
        <f t="shared" si="216"/>
        <v>0</v>
      </c>
      <c r="AR284" s="10">
        <f t="shared" si="217"/>
        <v>0</v>
      </c>
      <c r="AS284" s="10">
        <f t="shared" si="218"/>
        <v>0</v>
      </c>
      <c r="AT284" s="10">
        <f t="shared" si="219"/>
        <v>0</v>
      </c>
      <c r="AU284" s="10">
        <f t="shared" si="220"/>
        <v>0</v>
      </c>
      <c r="AV284" s="10">
        <f t="shared" si="221"/>
        <v>0</v>
      </c>
      <c r="AW284" s="10">
        <f t="shared" si="222"/>
        <v>0</v>
      </c>
      <c r="AX284" s="10">
        <f t="shared" si="223"/>
        <v>0</v>
      </c>
    </row>
    <row r="285" spans="1:50" x14ac:dyDescent="0.2">
      <c r="A285" s="8">
        <v>16200</v>
      </c>
      <c r="B285" s="89" t="str">
        <f t="shared" si="175"/>
        <v>Parkes</v>
      </c>
      <c r="C285" s="9" t="str">
        <f t="shared" si="176"/>
        <v>NetWaste</v>
      </c>
      <c r="D285" s="51" t="str">
        <f t="shared" si="177"/>
        <v>N</v>
      </c>
      <c r="E285" s="10" t="str">
        <f t="shared" si="178"/>
        <v>CNJO</v>
      </c>
      <c r="F285" s="10">
        <f t="shared" si="179"/>
        <v>14728</v>
      </c>
      <c r="G285" s="10">
        <f t="shared" si="180"/>
        <v>8183</v>
      </c>
      <c r="H285" s="10">
        <f t="shared" si="181"/>
        <v>1.7998289136013688</v>
      </c>
      <c r="I285" s="10">
        <f t="shared" si="182"/>
        <v>5957.6</v>
      </c>
      <c r="J285" s="10">
        <f t="shared" si="183"/>
        <v>2.5</v>
      </c>
      <c r="K285" s="10">
        <f t="shared" si="184"/>
        <v>431</v>
      </c>
      <c r="L285" s="10" t="str">
        <f t="shared" si="185"/>
        <v>Y</v>
      </c>
      <c r="M285" s="10">
        <f t="shared" si="186"/>
        <v>5335</v>
      </c>
      <c r="N285" s="10">
        <f t="shared" si="187"/>
        <v>5209</v>
      </c>
      <c r="O285" s="10">
        <f t="shared" si="188"/>
        <v>0</v>
      </c>
      <c r="P285" s="10">
        <f t="shared" si="189"/>
        <v>5209</v>
      </c>
      <c r="Q285" s="10">
        <f t="shared" si="190"/>
        <v>8183</v>
      </c>
      <c r="R285" s="10" t="str">
        <f t="shared" si="191"/>
        <v>Yes</v>
      </c>
      <c r="S285" s="10" t="str">
        <f t="shared" si="192"/>
        <v>Parkes Waste Facility, 104 Brolgan Rd Parkes 2870</v>
      </c>
      <c r="T285" s="10" t="str">
        <f t="shared" si="193"/>
        <v>Peak Hill Transfer Station, Rouse Rd Peak Hill 2869</v>
      </c>
      <c r="U285" s="10" t="str">
        <f t="shared" si="194"/>
        <v>Alectown Landfill</v>
      </c>
      <c r="V285" s="10" t="str">
        <f t="shared" si="195"/>
        <v>Bogan Gate Landfill</v>
      </c>
      <c r="W285" s="10" t="str">
        <f t="shared" si="196"/>
        <v>Gunningbland Landfill</v>
      </c>
      <c r="X285" s="10" t="str">
        <f t="shared" si="197"/>
        <v>Trundle Landfill</v>
      </c>
      <c r="Y285" s="10" t="str">
        <f t="shared" si="198"/>
        <v>Tullamore Landfill</v>
      </c>
      <c r="Z285" s="10">
        <f t="shared" si="199"/>
        <v>0</v>
      </c>
      <c r="AA285" s="10">
        <f t="shared" si="200"/>
        <v>0</v>
      </c>
      <c r="AB285" s="10">
        <f t="shared" si="201"/>
        <v>0</v>
      </c>
      <c r="AC285" s="10">
        <f t="shared" si="202"/>
        <v>0</v>
      </c>
      <c r="AD285" s="10">
        <f t="shared" si="203"/>
        <v>0</v>
      </c>
      <c r="AE285" s="10">
        <f t="shared" si="204"/>
        <v>0</v>
      </c>
      <c r="AF285" s="10">
        <f t="shared" si="205"/>
        <v>0</v>
      </c>
      <c r="AG285" s="10">
        <f t="shared" si="206"/>
        <v>0</v>
      </c>
      <c r="AH285" s="10">
        <f t="shared" si="207"/>
        <v>0</v>
      </c>
      <c r="AI285" s="10">
        <f t="shared" si="208"/>
        <v>0</v>
      </c>
      <c r="AJ285" s="10">
        <f t="shared" si="209"/>
        <v>0</v>
      </c>
      <c r="AK285" s="10">
        <f t="shared" si="210"/>
        <v>0</v>
      </c>
      <c r="AL285" s="10">
        <f t="shared" si="211"/>
        <v>0</v>
      </c>
      <c r="AM285" s="10">
        <f t="shared" si="212"/>
        <v>0</v>
      </c>
      <c r="AN285" s="46">
        <f t="shared" si="213"/>
        <v>0</v>
      </c>
      <c r="AO285" s="10">
        <f t="shared" si="214"/>
        <v>0</v>
      </c>
      <c r="AP285" s="10">
        <f t="shared" si="215"/>
        <v>0</v>
      </c>
      <c r="AQ285" s="10">
        <f t="shared" si="216"/>
        <v>0</v>
      </c>
      <c r="AR285" s="10">
        <f t="shared" si="217"/>
        <v>0</v>
      </c>
      <c r="AS285" s="10">
        <f t="shared" si="218"/>
        <v>0</v>
      </c>
      <c r="AT285" s="10">
        <f t="shared" si="219"/>
        <v>0</v>
      </c>
      <c r="AU285" s="10">
        <f t="shared" si="220"/>
        <v>0</v>
      </c>
      <c r="AV285" s="10">
        <f t="shared" si="221"/>
        <v>0</v>
      </c>
      <c r="AW285" s="10">
        <f t="shared" si="222"/>
        <v>0</v>
      </c>
      <c r="AX285" s="10">
        <f t="shared" si="223"/>
        <v>0</v>
      </c>
    </row>
    <row r="286" spans="1:50" x14ac:dyDescent="0.2">
      <c r="A286" s="8">
        <v>16490</v>
      </c>
      <c r="B286" s="89" t="str">
        <f t="shared" si="175"/>
        <v>Queanbeyan-Palerang Regional</v>
      </c>
      <c r="C286" s="9" t="str">
        <f t="shared" si="176"/>
        <v>CRJO</v>
      </c>
      <c r="D286" s="51" t="str">
        <f t="shared" si="177"/>
        <v>N</v>
      </c>
      <c r="E286" s="10" t="str">
        <f t="shared" si="178"/>
        <v>CRJO</v>
      </c>
      <c r="F286" s="10">
        <f t="shared" si="179"/>
        <v>62239</v>
      </c>
      <c r="G286" s="10">
        <f t="shared" si="180"/>
        <v>22370</v>
      </c>
      <c r="H286" s="10">
        <f t="shared" si="181"/>
        <v>2.7822530174340634</v>
      </c>
      <c r="I286" s="10">
        <f t="shared" si="182"/>
        <v>5318.9</v>
      </c>
      <c r="J286" s="10">
        <f t="shared" si="183"/>
        <v>11.7</v>
      </c>
      <c r="K286" s="10">
        <f t="shared" si="184"/>
        <v>337</v>
      </c>
      <c r="L286" s="10" t="str">
        <f t="shared" si="185"/>
        <v>Y</v>
      </c>
      <c r="M286" s="10">
        <f t="shared" si="186"/>
        <v>20751</v>
      </c>
      <c r="N286" s="10">
        <f t="shared" si="187"/>
        <v>21266</v>
      </c>
      <c r="O286" s="10">
        <f t="shared" si="188"/>
        <v>14342</v>
      </c>
      <c r="P286" s="10">
        <f t="shared" si="189"/>
        <v>2290</v>
      </c>
      <c r="Q286" s="10">
        <f t="shared" si="190"/>
        <v>22370</v>
      </c>
      <c r="R286" s="10" t="str">
        <f t="shared" si="191"/>
        <v>Yes</v>
      </c>
      <c r="S286" s="10" t="str">
        <f t="shared" si="192"/>
        <v>Bungendore Waste Transfer Station - Tarago Road Bungendore</v>
      </c>
      <c r="T286" s="10" t="str">
        <f t="shared" si="193"/>
        <v>Braidwood Waste Transfer Station - Bombay Road Braidwood</v>
      </c>
      <c r="U286" s="10" t="str">
        <f t="shared" si="194"/>
        <v>Bywong Transfer Station - Macs Reef Road</v>
      </c>
      <c r="V286" s="10" t="str">
        <f t="shared" si="195"/>
        <v>Captains Flat - Captains Flat Rd</v>
      </c>
      <c r="W286" s="10" t="str">
        <f t="shared" si="196"/>
        <v>Nerriga - Endrick River Road</v>
      </c>
      <c r="X286" s="10" t="str">
        <f t="shared" si="197"/>
        <v>Waste Minimisation Centre - Lorn Road Queanbeyan</v>
      </c>
      <c r="Y286" s="10">
        <f t="shared" si="198"/>
        <v>0</v>
      </c>
      <c r="Z286" s="10">
        <f t="shared" si="199"/>
        <v>0</v>
      </c>
      <c r="AA286" s="10">
        <f t="shared" si="200"/>
        <v>0</v>
      </c>
      <c r="AB286" s="10">
        <f t="shared" si="201"/>
        <v>0</v>
      </c>
      <c r="AC286" s="10">
        <f t="shared" si="202"/>
        <v>0</v>
      </c>
      <c r="AD286" s="10">
        <f t="shared" si="203"/>
        <v>0</v>
      </c>
      <c r="AE286" s="10">
        <f t="shared" si="204"/>
        <v>0</v>
      </c>
      <c r="AF286" s="10">
        <f t="shared" si="205"/>
        <v>0</v>
      </c>
      <c r="AG286" s="10">
        <f t="shared" si="206"/>
        <v>0</v>
      </c>
      <c r="AH286" s="10">
        <f t="shared" si="207"/>
        <v>0</v>
      </c>
      <c r="AI286" s="10">
        <f t="shared" si="208"/>
        <v>0</v>
      </c>
      <c r="AJ286" s="10">
        <f t="shared" si="209"/>
        <v>0</v>
      </c>
      <c r="AK286" s="10">
        <f t="shared" si="210"/>
        <v>0</v>
      </c>
      <c r="AL286" s="10">
        <f t="shared" si="211"/>
        <v>0</v>
      </c>
      <c r="AM286" s="10">
        <f t="shared" si="212"/>
        <v>0</v>
      </c>
      <c r="AN286" s="46">
        <f t="shared" si="213"/>
        <v>0</v>
      </c>
      <c r="AO286" s="10">
        <f t="shared" si="214"/>
        <v>0</v>
      </c>
      <c r="AP286" s="10">
        <f t="shared" si="215"/>
        <v>0</v>
      </c>
      <c r="AQ286" s="10">
        <f t="shared" si="216"/>
        <v>0</v>
      </c>
      <c r="AR286" s="10">
        <f t="shared" si="217"/>
        <v>0</v>
      </c>
      <c r="AS286" s="10">
        <f t="shared" si="218"/>
        <v>0</v>
      </c>
      <c r="AT286" s="10">
        <f t="shared" si="219"/>
        <v>0</v>
      </c>
      <c r="AU286" s="10">
        <f t="shared" si="220"/>
        <v>0</v>
      </c>
      <c r="AV286" s="10">
        <f t="shared" si="221"/>
        <v>0</v>
      </c>
      <c r="AW286" s="10">
        <f t="shared" si="222"/>
        <v>0</v>
      </c>
      <c r="AX286" s="10">
        <f t="shared" si="223"/>
        <v>0</v>
      </c>
    </row>
    <row r="287" spans="1:50" x14ac:dyDescent="0.2">
      <c r="A287" s="8">
        <v>17040</v>
      </c>
      <c r="B287" s="89" t="str">
        <f t="shared" si="175"/>
        <v>Snowy Monaro Regional</v>
      </c>
      <c r="C287" s="9" t="str">
        <f t="shared" si="176"/>
        <v>CRJO</v>
      </c>
      <c r="D287" s="51" t="str">
        <f t="shared" si="177"/>
        <v>N</v>
      </c>
      <c r="E287" s="10" t="str">
        <f t="shared" si="178"/>
        <v>CRJO</v>
      </c>
      <c r="F287" s="10">
        <f t="shared" si="179"/>
        <v>20997</v>
      </c>
      <c r="G287" s="10">
        <f t="shared" si="180"/>
        <v>10506</v>
      </c>
      <c r="H287" s="10">
        <f t="shared" si="181"/>
        <v>1.9985722444317533</v>
      </c>
      <c r="I287" s="10">
        <f t="shared" si="182"/>
        <v>15163.5</v>
      </c>
      <c r="J287" s="10">
        <f t="shared" si="183"/>
        <v>1.4</v>
      </c>
      <c r="K287" s="10">
        <f t="shared" si="184"/>
        <v>509</v>
      </c>
      <c r="L287" s="10" t="str">
        <f t="shared" si="185"/>
        <v>Y</v>
      </c>
      <c r="M287" s="10">
        <f t="shared" si="186"/>
        <v>7824</v>
      </c>
      <c r="N287" s="10">
        <f t="shared" si="187"/>
        <v>7477</v>
      </c>
      <c r="O287" s="10">
        <f t="shared" si="188"/>
        <v>0</v>
      </c>
      <c r="P287" s="10">
        <f t="shared" si="189"/>
        <v>2765</v>
      </c>
      <c r="Q287" s="10">
        <f t="shared" si="190"/>
        <v>0</v>
      </c>
      <c r="R287" s="10" t="str">
        <f t="shared" si="191"/>
        <v>Yes</v>
      </c>
      <c r="S287" s="10" t="str">
        <f t="shared" si="192"/>
        <v>Adaminaby Transfer Station</v>
      </c>
      <c r="T287" s="10" t="str">
        <f t="shared" si="193"/>
        <v>Berridale Transfer Station</v>
      </c>
      <c r="U287" s="10" t="str">
        <f t="shared" si="194"/>
        <v>Bredbo Transfer Station</v>
      </c>
      <c r="V287" s="10" t="str">
        <f t="shared" si="195"/>
        <v>Cooma Landfill</v>
      </c>
      <c r="W287" s="10" t="str">
        <f t="shared" si="196"/>
        <v>Bombala Landfill</v>
      </c>
      <c r="X287" s="10" t="str">
        <f t="shared" si="197"/>
        <v>Jindabyne Landfill</v>
      </c>
      <c r="Y287" s="10" t="str">
        <f t="shared" si="198"/>
        <v>Nimmitabel Transfer Station</v>
      </c>
      <c r="Z287" s="10">
        <f t="shared" si="199"/>
        <v>0</v>
      </c>
      <c r="AA287" s="10">
        <f t="shared" si="200"/>
        <v>0</v>
      </c>
      <c r="AB287" s="10">
        <f t="shared" si="201"/>
        <v>0</v>
      </c>
      <c r="AC287" s="10">
        <f t="shared" si="202"/>
        <v>0</v>
      </c>
      <c r="AD287" s="10">
        <f t="shared" si="203"/>
        <v>0</v>
      </c>
      <c r="AE287" s="10">
        <f t="shared" si="204"/>
        <v>0</v>
      </c>
      <c r="AF287" s="10">
        <f t="shared" si="205"/>
        <v>0</v>
      </c>
      <c r="AG287" s="10">
        <f t="shared" si="206"/>
        <v>0</v>
      </c>
      <c r="AH287" s="10">
        <f t="shared" si="207"/>
        <v>0</v>
      </c>
      <c r="AI287" s="10">
        <f t="shared" si="208"/>
        <v>0</v>
      </c>
      <c r="AJ287" s="10">
        <f t="shared" si="209"/>
        <v>0</v>
      </c>
      <c r="AK287" s="10">
        <f t="shared" si="210"/>
        <v>0</v>
      </c>
      <c r="AL287" s="10">
        <f t="shared" si="211"/>
        <v>0</v>
      </c>
      <c r="AM287" s="10">
        <f t="shared" si="212"/>
        <v>0</v>
      </c>
      <c r="AN287" s="46">
        <f t="shared" si="213"/>
        <v>0</v>
      </c>
      <c r="AO287" s="10">
        <f t="shared" si="214"/>
        <v>0</v>
      </c>
      <c r="AP287" s="10">
        <f t="shared" si="215"/>
        <v>0</v>
      </c>
      <c r="AQ287" s="10">
        <f t="shared" si="216"/>
        <v>0</v>
      </c>
      <c r="AR287" s="10">
        <f t="shared" si="217"/>
        <v>0</v>
      </c>
      <c r="AS287" s="10">
        <f t="shared" si="218"/>
        <v>0</v>
      </c>
      <c r="AT287" s="10">
        <f t="shared" si="219"/>
        <v>0</v>
      </c>
      <c r="AU287" s="10">
        <f t="shared" si="220"/>
        <v>0</v>
      </c>
      <c r="AV287" s="10">
        <f t="shared" si="221"/>
        <v>0</v>
      </c>
      <c r="AW287" s="10">
        <f t="shared" si="222"/>
        <v>0</v>
      </c>
      <c r="AX287" s="10">
        <f t="shared" si="223"/>
        <v>0</v>
      </c>
    </row>
    <row r="288" spans="1:50" x14ac:dyDescent="0.2">
      <c r="A288" s="8">
        <v>17080</v>
      </c>
      <c r="B288" s="89" t="str">
        <f t="shared" si="175"/>
        <v>Snowy Valleys</v>
      </c>
      <c r="C288" s="9" t="str">
        <f t="shared" si="176"/>
        <v>CRJO</v>
      </c>
      <c r="D288" s="51" t="str">
        <f t="shared" si="177"/>
        <v>N</v>
      </c>
      <c r="E288" s="10" t="str">
        <f t="shared" si="178"/>
        <v>CRJO</v>
      </c>
      <c r="F288" s="10">
        <f t="shared" si="179"/>
        <v>14412</v>
      </c>
      <c r="G288" s="10">
        <f t="shared" si="180"/>
        <v>6530</v>
      </c>
      <c r="H288" s="10">
        <f t="shared" si="181"/>
        <v>2.2070444104134763</v>
      </c>
      <c r="I288" s="10">
        <f t="shared" si="182"/>
        <v>8959</v>
      </c>
      <c r="J288" s="10">
        <f t="shared" si="183"/>
        <v>1.6</v>
      </c>
      <c r="K288" s="10">
        <f t="shared" si="184"/>
        <v>475</v>
      </c>
      <c r="L288" s="10" t="str">
        <f t="shared" si="185"/>
        <v>Y</v>
      </c>
      <c r="M288" s="10">
        <f t="shared" si="186"/>
        <v>5950</v>
      </c>
      <c r="N288" s="10">
        <f t="shared" si="187"/>
        <v>5720</v>
      </c>
      <c r="O288" s="10">
        <f t="shared" si="188"/>
        <v>0</v>
      </c>
      <c r="P288" s="10">
        <f t="shared" si="189"/>
        <v>0</v>
      </c>
      <c r="Q288" s="10">
        <f t="shared" si="190"/>
        <v>0</v>
      </c>
      <c r="R288" s="10" t="str">
        <f t="shared" si="191"/>
        <v>Yes</v>
      </c>
      <c r="S288" s="10" t="str">
        <f t="shared" si="192"/>
        <v>Adelong</v>
      </c>
      <c r="T288" s="10" t="str">
        <f t="shared" si="193"/>
        <v>Batlow</v>
      </c>
      <c r="U288" s="10" t="str">
        <f t="shared" si="194"/>
        <v>Khancoban</v>
      </c>
      <c r="V288" s="10" t="str">
        <f t="shared" si="195"/>
        <v>Talbingo</v>
      </c>
      <c r="W288" s="10" t="str">
        <f t="shared" si="196"/>
        <v>Tumbarumba</v>
      </c>
      <c r="X288" s="10" t="str">
        <f t="shared" si="197"/>
        <v>Tumut</v>
      </c>
      <c r="Y288" s="10">
        <f t="shared" si="198"/>
        <v>0</v>
      </c>
      <c r="Z288" s="10">
        <f t="shared" si="199"/>
        <v>0</v>
      </c>
      <c r="AA288" s="10">
        <f t="shared" si="200"/>
        <v>0</v>
      </c>
      <c r="AB288" s="10">
        <f t="shared" si="201"/>
        <v>0</v>
      </c>
      <c r="AC288" s="10">
        <f t="shared" si="202"/>
        <v>0</v>
      </c>
      <c r="AD288" s="10">
        <f t="shared" si="203"/>
        <v>0</v>
      </c>
      <c r="AE288" s="10">
        <f t="shared" si="204"/>
        <v>0</v>
      </c>
      <c r="AF288" s="10">
        <f t="shared" si="205"/>
        <v>0</v>
      </c>
      <c r="AG288" s="10">
        <f t="shared" si="206"/>
        <v>0</v>
      </c>
      <c r="AH288" s="10">
        <f t="shared" si="207"/>
        <v>0</v>
      </c>
      <c r="AI288" s="10">
        <f t="shared" si="208"/>
        <v>0</v>
      </c>
      <c r="AJ288" s="10">
        <f t="shared" si="209"/>
        <v>0</v>
      </c>
      <c r="AK288" s="10">
        <f t="shared" si="210"/>
        <v>0</v>
      </c>
      <c r="AL288" s="10">
        <f t="shared" si="211"/>
        <v>0</v>
      </c>
      <c r="AM288" s="10">
        <f t="shared" si="212"/>
        <v>0</v>
      </c>
      <c r="AN288" s="46">
        <f t="shared" si="213"/>
        <v>0</v>
      </c>
      <c r="AO288" s="10">
        <f t="shared" si="214"/>
        <v>0</v>
      </c>
      <c r="AP288" s="10">
        <f t="shared" si="215"/>
        <v>0</v>
      </c>
      <c r="AQ288" s="10">
        <f t="shared" si="216"/>
        <v>0</v>
      </c>
      <c r="AR288" s="10">
        <f t="shared" si="217"/>
        <v>0</v>
      </c>
      <c r="AS288" s="10">
        <f t="shared" si="218"/>
        <v>0</v>
      </c>
      <c r="AT288" s="10">
        <f t="shared" si="219"/>
        <v>0</v>
      </c>
      <c r="AU288" s="10">
        <f t="shared" si="220"/>
        <v>0</v>
      </c>
      <c r="AV288" s="10">
        <f t="shared" si="221"/>
        <v>0</v>
      </c>
      <c r="AW288" s="10">
        <f t="shared" si="222"/>
        <v>0</v>
      </c>
      <c r="AX288" s="10">
        <f t="shared" si="223"/>
        <v>0</v>
      </c>
    </row>
    <row r="289" spans="1:50" x14ac:dyDescent="0.2">
      <c r="A289" s="8">
        <v>17310</v>
      </c>
      <c r="B289" s="89" t="str">
        <f t="shared" si="175"/>
        <v>Tamworth Regional</v>
      </c>
      <c r="C289" s="9" t="str">
        <f t="shared" si="176"/>
        <v>NIRW</v>
      </c>
      <c r="D289" s="51" t="str">
        <f t="shared" si="177"/>
        <v>N</v>
      </c>
      <c r="E289" s="10" t="str">
        <f t="shared" si="178"/>
        <v>NJO</v>
      </c>
      <c r="F289" s="10">
        <f t="shared" si="179"/>
        <v>62545</v>
      </c>
      <c r="G289" s="10">
        <f t="shared" si="180"/>
        <v>28082</v>
      </c>
      <c r="H289" s="10">
        <f t="shared" si="181"/>
        <v>2.2272274054554519</v>
      </c>
      <c r="I289" s="10">
        <f t="shared" si="182"/>
        <v>9884.4</v>
      </c>
      <c r="J289" s="10">
        <f t="shared" si="183"/>
        <v>6.3</v>
      </c>
      <c r="K289" s="10">
        <f t="shared" si="184"/>
        <v>322</v>
      </c>
      <c r="L289" s="10" t="str">
        <f t="shared" si="185"/>
        <v>Y</v>
      </c>
      <c r="M289" s="10">
        <f t="shared" si="186"/>
        <v>28082</v>
      </c>
      <c r="N289" s="10">
        <f t="shared" si="187"/>
        <v>25078</v>
      </c>
      <c r="O289" s="10">
        <f t="shared" si="188"/>
        <v>19861</v>
      </c>
      <c r="P289" s="10">
        <f t="shared" si="189"/>
        <v>0</v>
      </c>
      <c r="Q289" s="10">
        <f t="shared" si="190"/>
        <v>28082</v>
      </c>
      <c r="R289" s="10" t="str">
        <f t="shared" si="191"/>
        <v>Yes</v>
      </c>
      <c r="S289" s="10" t="str">
        <f t="shared" si="192"/>
        <v>Forest Road Landfill 123A Forest Road North Tamworth</v>
      </c>
      <c r="T289" s="10" t="str">
        <f t="shared" si="193"/>
        <v>Barraba Landfill</v>
      </c>
      <c r="U289" s="10" t="str">
        <f t="shared" si="194"/>
        <v>Manilla Landfill</v>
      </c>
      <c r="V289" s="10" t="str">
        <f t="shared" si="195"/>
        <v>Nundle Landfill</v>
      </c>
      <c r="W289" s="10" t="str">
        <f t="shared" si="196"/>
        <v>Somerton SVTS</v>
      </c>
      <c r="X289" s="10" t="str">
        <f t="shared" si="197"/>
        <v>Kootingal SVTS</v>
      </c>
      <c r="Y289" s="10" t="str">
        <f t="shared" si="198"/>
        <v>Duri SVTS, Dungowan SVTS, Bendemeer SVTS, Niangala SVTS</v>
      </c>
      <c r="Z289" s="10">
        <f t="shared" si="199"/>
        <v>0</v>
      </c>
      <c r="AA289" s="10">
        <f t="shared" si="200"/>
        <v>0</v>
      </c>
      <c r="AB289" s="10">
        <f t="shared" si="201"/>
        <v>0</v>
      </c>
      <c r="AC289" s="10">
        <f t="shared" si="202"/>
        <v>0</v>
      </c>
      <c r="AD289" s="10">
        <f t="shared" si="203"/>
        <v>0</v>
      </c>
      <c r="AE289" s="10">
        <f t="shared" si="204"/>
        <v>0</v>
      </c>
      <c r="AF289" s="10">
        <f t="shared" si="205"/>
        <v>0</v>
      </c>
      <c r="AG289" s="10">
        <f t="shared" si="206"/>
        <v>0</v>
      </c>
      <c r="AH289" s="10">
        <f t="shared" si="207"/>
        <v>0</v>
      </c>
      <c r="AI289" s="10">
        <f t="shared" si="208"/>
        <v>0</v>
      </c>
      <c r="AJ289" s="10">
        <f t="shared" si="209"/>
        <v>0</v>
      </c>
      <c r="AK289" s="10">
        <f t="shared" si="210"/>
        <v>0</v>
      </c>
      <c r="AL289" s="10">
        <f t="shared" si="211"/>
        <v>0</v>
      </c>
      <c r="AM289" s="10">
        <f t="shared" si="212"/>
        <v>0</v>
      </c>
      <c r="AN289" s="46">
        <f t="shared" si="213"/>
        <v>0</v>
      </c>
      <c r="AO289" s="10">
        <f t="shared" si="214"/>
        <v>0</v>
      </c>
      <c r="AP289" s="10">
        <f t="shared" si="215"/>
        <v>0</v>
      </c>
      <c r="AQ289" s="10">
        <f t="shared" si="216"/>
        <v>0</v>
      </c>
      <c r="AR289" s="10">
        <f t="shared" si="217"/>
        <v>0</v>
      </c>
      <c r="AS289" s="10">
        <f t="shared" si="218"/>
        <v>0</v>
      </c>
      <c r="AT289" s="10">
        <f t="shared" si="219"/>
        <v>0</v>
      </c>
      <c r="AU289" s="10">
        <f t="shared" si="220"/>
        <v>0</v>
      </c>
      <c r="AV289" s="10">
        <f t="shared" si="221"/>
        <v>0</v>
      </c>
      <c r="AW289" s="10">
        <f t="shared" si="222"/>
        <v>0</v>
      </c>
      <c r="AX289" s="10">
        <f t="shared" si="223"/>
        <v>0</v>
      </c>
    </row>
    <row r="290" spans="1:50" x14ac:dyDescent="0.2">
      <c r="A290" s="8">
        <v>17350</v>
      </c>
      <c r="B290" s="89" t="str">
        <f t="shared" si="175"/>
        <v>Temora</v>
      </c>
      <c r="C290" s="9" t="str">
        <f t="shared" si="176"/>
        <v>REROC</v>
      </c>
      <c r="D290" s="51" t="str">
        <f t="shared" si="177"/>
        <v>N</v>
      </c>
      <c r="E290" s="10" t="str">
        <f t="shared" si="178"/>
        <v>RJO</v>
      </c>
      <c r="F290" s="10">
        <f t="shared" si="179"/>
        <v>6274</v>
      </c>
      <c r="G290" s="10">
        <f t="shared" si="180"/>
        <v>3827</v>
      </c>
      <c r="H290" s="10">
        <f t="shared" si="181"/>
        <v>1.6394042330807421</v>
      </c>
      <c r="I290" s="10">
        <f t="shared" si="182"/>
        <v>2802</v>
      </c>
      <c r="J290" s="10">
        <f t="shared" si="183"/>
        <v>2.2000000000000002</v>
      </c>
      <c r="K290" s="10">
        <f t="shared" si="184"/>
        <v>251.2</v>
      </c>
      <c r="L290" s="10" t="str">
        <f t="shared" si="185"/>
        <v>Y</v>
      </c>
      <c r="M290" s="10">
        <f t="shared" si="186"/>
        <v>2453</v>
      </c>
      <c r="N290" s="10">
        <f t="shared" si="187"/>
        <v>0</v>
      </c>
      <c r="O290" s="10">
        <f t="shared" si="188"/>
        <v>0</v>
      </c>
      <c r="P290" s="10">
        <f t="shared" si="189"/>
        <v>0</v>
      </c>
      <c r="Q290" s="10">
        <f t="shared" si="190"/>
        <v>3827</v>
      </c>
      <c r="R290" s="10" t="str">
        <f t="shared" si="191"/>
        <v>Yes</v>
      </c>
      <c r="S290" s="10" t="str">
        <f t="shared" si="192"/>
        <v>Temora Landfill Site</v>
      </c>
      <c r="T290" s="10" t="str">
        <f t="shared" si="193"/>
        <v>Ariah Park Landfill Site</v>
      </c>
      <c r="U290" s="10" t="str">
        <f t="shared" si="194"/>
        <v>Lions Club Recycling Depot</v>
      </c>
      <c r="V290" s="10">
        <f t="shared" si="195"/>
        <v>0</v>
      </c>
      <c r="W290" s="10">
        <f t="shared" si="196"/>
        <v>0</v>
      </c>
      <c r="X290" s="10">
        <f t="shared" si="197"/>
        <v>0</v>
      </c>
      <c r="Y290" s="10">
        <f t="shared" si="198"/>
        <v>0</v>
      </c>
      <c r="Z290" s="10">
        <f t="shared" si="199"/>
        <v>0</v>
      </c>
      <c r="AA290" s="10">
        <f t="shared" si="200"/>
        <v>0</v>
      </c>
      <c r="AB290" s="10">
        <f t="shared" si="201"/>
        <v>0</v>
      </c>
      <c r="AC290" s="10">
        <f t="shared" si="202"/>
        <v>0</v>
      </c>
      <c r="AD290" s="10">
        <f t="shared" si="203"/>
        <v>0</v>
      </c>
      <c r="AE290" s="10">
        <f t="shared" si="204"/>
        <v>0</v>
      </c>
      <c r="AF290" s="10">
        <f t="shared" si="205"/>
        <v>0</v>
      </c>
      <c r="AG290" s="10">
        <f t="shared" si="206"/>
        <v>0</v>
      </c>
      <c r="AH290" s="10">
        <f t="shared" si="207"/>
        <v>0</v>
      </c>
      <c r="AI290" s="10">
        <f t="shared" si="208"/>
        <v>0</v>
      </c>
      <c r="AJ290" s="10">
        <f t="shared" si="209"/>
        <v>0</v>
      </c>
      <c r="AK290" s="10">
        <f t="shared" si="210"/>
        <v>0</v>
      </c>
      <c r="AL290" s="10">
        <f t="shared" si="211"/>
        <v>0</v>
      </c>
      <c r="AM290" s="10">
        <f t="shared" si="212"/>
        <v>0</v>
      </c>
      <c r="AN290" s="46">
        <f t="shared" si="213"/>
        <v>0</v>
      </c>
      <c r="AO290" s="10">
        <f t="shared" si="214"/>
        <v>0</v>
      </c>
      <c r="AP290" s="10">
        <f t="shared" si="215"/>
        <v>0</v>
      </c>
      <c r="AQ290" s="10">
        <f t="shared" si="216"/>
        <v>0</v>
      </c>
      <c r="AR290" s="10">
        <f t="shared" si="217"/>
        <v>0</v>
      </c>
      <c r="AS290" s="10">
        <f t="shared" si="218"/>
        <v>0</v>
      </c>
      <c r="AT290" s="10">
        <f t="shared" si="219"/>
        <v>0</v>
      </c>
      <c r="AU290" s="10">
        <f t="shared" si="220"/>
        <v>0</v>
      </c>
      <c r="AV290" s="10">
        <f t="shared" si="221"/>
        <v>0</v>
      </c>
      <c r="AW290" s="10">
        <f t="shared" si="222"/>
        <v>0</v>
      </c>
      <c r="AX290" s="10">
        <f t="shared" si="223"/>
        <v>0</v>
      </c>
    </row>
    <row r="291" spans="1:50" x14ac:dyDescent="0.2">
      <c r="A291" s="8">
        <v>17400</v>
      </c>
      <c r="B291" s="89" t="str">
        <f t="shared" si="175"/>
        <v>Tenterfield</v>
      </c>
      <c r="C291" s="9" t="str">
        <f t="shared" si="176"/>
        <v>NIRW</v>
      </c>
      <c r="D291" s="51" t="str">
        <f t="shared" si="177"/>
        <v>N</v>
      </c>
      <c r="E291" s="10" t="str">
        <f t="shared" si="178"/>
        <v>NEJO</v>
      </c>
      <c r="F291" s="10">
        <f t="shared" si="179"/>
        <v>6470</v>
      </c>
      <c r="G291" s="10">
        <f t="shared" si="180"/>
        <v>4933</v>
      </c>
      <c r="H291" s="10">
        <f t="shared" si="181"/>
        <v>1.3115751064261099</v>
      </c>
      <c r="I291" s="10">
        <f t="shared" si="182"/>
        <v>7322.8</v>
      </c>
      <c r="J291" s="10">
        <f t="shared" si="183"/>
        <v>0.9</v>
      </c>
      <c r="K291" s="10">
        <f t="shared" si="184"/>
        <v>612</v>
      </c>
      <c r="L291" s="10" t="str">
        <f t="shared" si="185"/>
        <v>Y</v>
      </c>
      <c r="M291" s="10">
        <f t="shared" si="186"/>
        <v>2314</v>
      </c>
      <c r="N291" s="10">
        <f t="shared" si="187"/>
        <v>1740</v>
      </c>
      <c r="O291" s="10">
        <f t="shared" si="188"/>
        <v>0</v>
      </c>
      <c r="P291" s="10">
        <f t="shared" si="189"/>
        <v>0</v>
      </c>
      <c r="Q291" s="10">
        <f t="shared" si="190"/>
        <v>0</v>
      </c>
      <c r="R291" s="10" t="str">
        <f t="shared" si="191"/>
        <v>Yes</v>
      </c>
      <c r="S291" s="10" t="str">
        <f t="shared" si="192"/>
        <v>Tenterfield WTS</v>
      </c>
      <c r="T291" s="10" t="str">
        <f t="shared" si="193"/>
        <v>Liston WTS</v>
      </c>
      <c r="U291" s="10" t="str">
        <f t="shared" si="194"/>
        <v>Legume WTS</v>
      </c>
      <c r="V291" s="10" t="str">
        <f t="shared" si="195"/>
        <v>Drake WTS</v>
      </c>
      <c r="W291" s="10" t="str">
        <f t="shared" si="196"/>
        <v>Urbenville WTS</v>
      </c>
      <c r="X291" s="10" t="str">
        <f t="shared" si="197"/>
        <v>Torrington (Industrial collections) landfill closed</v>
      </c>
      <c r="Y291" s="10" t="str">
        <f t="shared" si="198"/>
        <v>Mingoola (industrial collection)</v>
      </c>
      <c r="Z291" s="10">
        <f t="shared" si="199"/>
        <v>0</v>
      </c>
      <c r="AA291" s="10">
        <f t="shared" si="200"/>
        <v>0</v>
      </c>
      <c r="AB291" s="10">
        <f t="shared" si="201"/>
        <v>0</v>
      </c>
      <c r="AC291" s="10">
        <f t="shared" si="202"/>
        <v>0</v>
      </c>
      <c r="AD291" s="10">
        <f t="shared" si="203"/>
        <v>0</v>
      </c>
      <c r="AE291" s="10">
        <f t="shared" si="204"/>
        <v>0</v>
      </c>
      <c r="AF291" s="10">
        <f t="shared" si="205"/>
        <v>0</v>
      </c>
      <c r="AG291" s="10">
        <f t="shared" si="206"/>
        <v>0</v>
      </c>
      <c r="AH291" s="10">
        <f t="shared" si="207"/>
        <v>0</v>
      </c>
      <c r="AI291" s="10">
        <f t="shared" si="208"/>
        <v>0</v>
      </c>
      <c r="AJ291" s="10">
        <f t="shared" si="209"/>
        <v>0</v>
      </c>
      <c r="AK291" s="10">
        <f t="shared" si="210"/>
        <v>0</v>
      </c>
      <c r="AL291" s="10">
        <f t="shared" si="211"/>
        <v>0</v>
      </c>
      <c r="AM291" s="10">
        <f t="shared" si="212"/>
        <v>0</v>
      </c>
      <c r="AN291" s="46">
        <f t="shared" si="213"/>
        <v>0</v>
      </c>
      <c r="AO291" s="10">
        <f t="shared" si="214"/>
        <v>0</v>
      </c>
      <c r="AP291" s="10">
        <f t="shared" si="215"/>
        <v>0</v>
      </c>
      <c r="AQ291" s="10">
        <f t="shared" si="216"/>
        <v>0</v>
      </c>
      <c r="AR291" s="10">
        <f t="shared" si="217"/>
        <v>0</v>
      </c>
      <c r="AS291" s="10">
        <f t="shared" si="218"/>
        <v>0</v>
      </c>
      <c r="AT291" s="10">
        <f t="shared" si="219"/>
        <v>0</v>
      </c>
      <c r="AU291" s="10">
        <f t="shared" si="220"/>
        <v>0</v>
      </c>
      <c r="AV291" s="10">
        <f t="shared" si="221"/>
        <v>0</v>
      </c>
      <c r="AW291" s="10">
        <f t="shared" si="222"/>
        <v>0</v>
      </c>
      <c r="AX291" s="10">
        <f t="shared" si="223"/>
        <v>0</v>
      </c>
    </row>
    <row r="292" spans="1:50" x14ac:dyDescent="0.2">
      <c r="A292" s="8">
        <v>17640</v>
      </c>
      <c r="B292" s="89" t="str">
        <f t="shared" si="175"/>
        <v>Upper Lachlan Shire</v>
      </c>
      <c r="C292" s="9" t="str">
        <f t="shared" si="176"/>
        <v>CRJO</v>
      </c>
      <c r="D292" s="51" t="str">
        <f t="shared" si="177"/>
        <v>N</v>
      </c>
      <c r="E292" s="10" t="str">
        <f t="shared" si="178"/>
        <v>CRJO</v>
      </c>
      <c r="F292" s="10">
        <f t="shared" si="179"/>
        <v>8274</v>
      </c>
      <c r="G292" s="10">
        <f t="shared" si="180"/>
        <v>6397</v>
      </c>
      <c r="H292" s="10">
        <f t="shared" si="181"/>
        <v>1.2934187900578396</v>
      </c>
      <c r="I292" s="10">
        <f t="shared" si="182"/>
        <v>7127.4</v>
      </c>
      <c r="J292" s="10">
        <f t="shared" si="183"/>
        <v>1.2</v>
      </c>
      <c r="K292" s="10">
        <f t="shared" si="184"/>
        <v>485</v>
      </c>
      <c r="L292" s="10" t="str">
        <f t="shared" si="185"/>
        <v>Y</v>
      </c>
      <c r="M292" s="10">
        <f t="shared" si="186"/>
        <v>2193</v>
      </c>
      <c r="N292" s="10">
        <f t="shared" si="187"/>
        <v>2193</v>
      </c>
      <c r="O292" s="10">
        <f t="shared" si="188"/>
        <v>2193</v>
      </c>
      <c r="P292" s="10">
        <f t="shared" si="189"/>
        <v>0</v>
      </c>
      <c r="Q292" s="10">
        <f t="shared" si="190"/>
        <v>0</v>
      </c>
      <c r="R292" s="10" t="str">
        <f t="shared" si="191"/>
        <v>Yes</v>
      </c>
      <c r="S292" s="10" t="str">
        <f t="shared" si="192"/>
        <v>Crookwell Waste Facility</v>
      </c>
      <c r="T292" s="10" t="str">
        <f t="shared" si="193"/>
        <v>Gunning Waste Facility</v>
      </c>
      <c r="U292" s="10" t="str">
        <f t="shared" si="194"/>
        <v>Taralga Waste Facility</v>
      </c>
      <c r="V292" s="10" t="str">
        <f t="shared" si="195"/>
        <v>Collector Waste Facility</v>
      </c>
      <c r="W292" s="10" t="str">
        <f t="shared" si="196"/>
        <v>Bigga Waste Facility</v>
      </c>
      <c r="X292" s="10" t="str">
        <f t="shared" si="197"/>
        <v>Tuena Waste Facility</v>
      </c>
      <c r="Y292" s="10">
        <f t="shared" si="198"/>
        <v>0</v>
      </c>
      <c r="Z292" s="10">
        <f t="shared" si="199"/>
        <v>0</v>
      </c>
      <c r="AA292" s="10">
        <f t="shared" si="200"/>
        <v>0</v>
      </c>
      <c r="AB292" s="10">
        <f t="shared" si="201"/>
        <v>0</v>
      </c>
      <c r="AC292" s="10">
        <f t="shared" si="202"/>
        <v>0</v>
      </c>
      <c r="AD292" s="10">
        <f t="shared" si="203"/>
        <v>0</v>
      </c>
      <c r="AE292" s="10">
        <f t="shared" si="204"/>
        <v>0</v>
      </c>
      <c r="AF292" s="10">
        <f t="shared" si="205"/>
        <v>0</v>
      </c>
      <c r="AG292" s="10">
        <f t="shared" si="206"/>
        <v>0</v>
      </c>
      <c r="AH292" s="10">
        <f t="shared" si="207"/>
        <v>0</v>
      </c>
      <c r="AI292" s="10">
        <f t="shared" si="208"/>
        <v>0</v>
      </c>
      <c r="AJ292" s="10">
        <f t="shared" si="209"/>
        <v>0</v>
      </c>
      <c r="AK292" s="10">
        <f t="shared" si="210"/>
        <v>0</v>
      </c>
      <c r="AL292" s="10">
        <f t="shared" si="211"/>
        <v>0</v>
      </c>
      <c r="AM292" s="10">
        <f t="shared" si="212"/>
        <v>0</v>
      </c>
      <c r="AN292" s="46">
        <f t="shared" si="213"/>
        <v>0</v>
      </c>
      <c r="AO292" s="10">
        <f t="shared" si="214"/>
        <v>0</v>
      </c>
      <c r="AP292" s="10">
        <f t="shared" si="215"/>
        <v>0</v>
      </c>
      <c r="AQ292" s="10">
        <f t="shared" si="216"/>
        <v>0</v>
      </c>
      <c r="AR292" s="10">
        <f t="shared" si="217"/>
        <v>0</v>
      </c>
      <c r="AS292" s="10">
        <f t="shared" si="218"/>
        <v>0</v>
      </c>
      <c r="AT292" s="10">
        <f t="shared" si="219"/>
        <v>0</v>
      </c>
      <c r="AU292" s="10">
        <f t="shared" si="220"/>
        <v>0</v>
      </c>
      <c r="AV292" s="10">
        <f t="shared" si="221"/>
        <v>0</v>
      </c>
      <c r="AW292" s="10">
        <f t="shared" si="222"/>
        <v>0</v>
      </c>
      <c r="AX292" s="10">
        <f t="shared" si="223"/>
        <v>0</v>
      </c>
    </row>
    <row r="293" spans="1:50" x14ac:dyDescent="0.2">
      <c r="A293" s="8">
        <v>17650</v>
      </c>
      <c r="B293" s="89" t="str">
        <f t="shared" si="175"/>
        <v>Uralla</v>
      </c>
      <c r="C293" s="9" t="str">
        <f t="shared" si="176"/>
        <v>NIRW</v>
      </c>
      <c r="D293" s="51" t="str">
        <f t="shared" si="177"/>
        <v>N</v>
      </c>
      <c r="E293" s="10" t="str">
        <f t="shared" si="178"/>
        <v>NEJO</v>
      </c>
      <c r="F293" s="10">
        <f t="shared" si="179"/>
        <v>5944</v>
      </c>
      <c r="G293" s="10">
        <f t="shared" si="180"/>
        <v>3160</v>
      </c>
      <c r="H293" s="10">
        <f t="shared" si="181"/>
        <v>1.8810126582278481</v>
      </c>
      <c r="I293" s="10">
        <f t="shared" si="182"/>
        <v>3226.5</v>
      </c>
      <c r="J293" s="10">
        <f t="shared" si="183"/>
        <v>1.8</v>
      </c>
      <c r="K293" s="10">
        <f t="shared" si="184"/>
        <v>352</v>
      </c>
      <c r="L293" s="10" t="str">
        <f t="shared" si="185"/>
        <v>Y</v>
      </c>
      <c r="M293" s="10">
        <f t="shared" si="186"/>
        <v>2004</v>
      </c>
      <c r="N293" s="10">
        <f t="shared" si="187"/>
        <v>1899</v>
      </c>
      <c r="O293" s="10">
        <f t="shared" si="188"/>
        <v>99</v>
      </c>
      <c r="P293" s="10">
        <f t="shared" si="189"/>
        <v>0</v>
      </c>
      <c r="Q293" s="10">
        <f t="shared" si="190"/>
        <v>0</v>
      </c>
      <c r="R293" s="10" t="str">
        <f t="shared" si="191"/>
        <v>Yes</v>
      </c>
      <c r="S293" s="10" t="str">
        <f t="shared" si="192"/>
        <v>Uralla Waste Management Facility, Rowan Ave URALLA</v>
      </c>
      <c r="T293" s="10" t="str">
        <f t="shared" si="193"/>
        <v>Bundarra Waste Management Facility, Bingara Road BUNDARRA</v>
      </c>
      <c r="U293" s="10" t="str">
        <f t="shared" si="194"/>
        <v>Kingstown Waste Management Facility, Sawmill Lane KINGSTOWN</v>
      </c>
      <c r="V293" s="10">
        <f t="shared" si="195"/>
        <v>0</v>
      </c>
      <c r="W293" s="10">
        <f t="shared" si="196"/>
        <v>0</v>
      </c>
      <c r="X293" s="10">
        <f t="shared" si="197"/>
        <v>0</v>
      </c>
      <c r="Y293" s="10">
        <f t="shared" si="198"/>
        <v>0</v>
      </c>
      <c r="Z293" s="10">
        <f t="shared" si="199"/>
        <v>0</v>
      </c>
      <c r="AA293" s="10">
        <f t="shared" si="200"/>
        <v>0</v>
      </c>
      <c r="AB293" s="10">
        <f t="shared" si="201"/>
        <v>0</v>
      </c>
      <c r="AC293" s="10">
        <f t="shared" si="202"/>
        <v>0</v>
      </c>
      <c r="AD293" s="10">
        <f t="shared" si="203"/>
        <v>0</v>
      </c>
      <c r="AE293" s="10">
        <f t="shared" si="204"/>
        <v>0</v>
      </c>
      <c r="AF293" s="10">
        <f t="shared" si="205"/>
        <v>0</v>
      </c>
      <c r="AG293" s="10">
        <f t="shared" si="206"/>
        <v>0</v>
      </c>
      <c r="AH293" s="10">
        <f t="shared" si="207"/>
        <v>0</v>
      </c>
      <c r="AI293" s="10">
        <f t="shared" si="208"/>
        <v>0</v>
      </c>
      <c r="AJ293" s="10">
        <f t="shared" si="209"/>
        <v>0</v>
      </c>
      <c r="AK293" s="10">
        <f t="shared" si="210"/>
        <v>0</v>
      </c>
      <c r="AL293" s="10">
        <f t="shared" si="211"/>
        <v>0</v>
      </c>
      <c r="AM293" s="10">
        <f t="shared" si="212"/>
        <v>0</v>
      </c>
      <c r="AN293" s="46">
        <f t="shared" si="213"/>
        <v>0</v>
      </c>
      <c r="AO293" s="10">
        <f t="shared" si="214"/>
        <v>0</v>
      </c>
      <c r="AP293" s="10">
        <f t="shared" si="215"/>
        <v>0</v>
      </c>
      <c r="AQ293" s="10">
        <f t="shared" si="216"/>
        <v>0</v>
      </c>
      <c r="AR293" s="10">
        <f t="shared" si="217"/>
        <v>0</v>
      </c>
      <c r="AS293" s="10">
        <f t="shared" si="218"/>
        <v>0</v>
      </c>
      <c r="AT293" s="10">
        <f t="shared" si="219"/>
        <v>0</v>
      </c>
      <c r="AU293" s="10">
        <f t="shared" si="220"/>
        <v>0</v>
      </c>
      <c r="AV293" s="10">
        <f t="shared" si="221"/>
        <v>0</v>
      </c>
      <c r="AW293" s="10">
        <f t="shared" si="222"/>
        <v>0</v>
      </c>
      <c r="AX293" s="10">
        <f t="shared" si="223"/>
        <v>0</v>
      </c>
    </row>
    <row r="294" spans="1:50" x14ac:dyDescent="0.2">
      <c r="A294" s="8">
        <v>17750</v>
      </c>
      <c r="B294" s="89" t="str">
        <f t="shared" si="175"/>
        <v>Wagga Wagga</v>
      </c>
      <c r="C294" s="9" t="str">
        <f t="shared" si="176"/>
        <v>REROC</v>
      </c>
      <c r="D294" s="51" t="str">
        <f t="shared" si="177"/>
        <v>N</v>
      </c>
      <c r="E294" s="10">
        <f t="shared" si="178"/>
        <v>0</v>
      </c>
      <c r="F294" s="10">
        <f t="shared" si="179"/>
        <v>65770</v>
      </c>
      <c r="G294" s="10">
        <f t="shared" si="180"/>
        <v>25631</v>
      </c>
      <c r="H294" s="10">
        <f t="shared" si="181"/>
        <v>2.5660333190277398</v>
      </c>
      <c r="I294" s="10">
        <f t="shared" si="182"/>
        <v>4824.5</v>
      </c>
      <c r="J294" s="10">
        <f t="shared" si="183"/>
        <v>13.6</v>
      </c>
      <c r="K294" s="10">
        <f t="shared" si="184"/>
        <v>369</v>
      </c>
      <c r="L294" s="10" t="str">
        <f t="shared" si="185"/>
        <v>Y</v>
      </c>
      <c r="M294" s="10">
        <f t="shared" si="186"/>
        <v>25631</v>
      </c>
      <c r="N294" s="10">
        <f t="shared" si="187"/>
        <v>25631</v>
      </c>
      <c r="O294" s="10">
        <f t="shared" si="188"/>
        <v>0</v>
      </c>
      <c r="P294" s="10">
        <f t="shared" si="189"/>
        <v>25631</v>
      </c>
      <c r="Q294" s="10">
        <f t="shared" si="190"/>
        <v>25631</v>
      </c>
      <c r="R294" s="10" t="str">
        <f t="shared" si="191"/>
        <v>Yes</v>
      </c>
      <c r="S294" s="10" t="str">
        <f t="shared" si="192"/>
        <v>Gregadoo Waste Management Centre</v>
      </c>
      <c r="T294" s="10" t="str">
        <f t="shared" si="193"/>
        <v>Transfer stations</v>
      </c>
      <c r="U294" s="10">
        <f t="shared" si="194"/>
        <v>0</v>
      </c>
      <c r="V294" s="10">
        <f t="shared" si="195"/>
        <v>0</v>
      </c>
      <c r="W294" s="10">
        <f t="shared" si="196"/>
        <v>0</v>
      </c>
      <c r="X294" s="10">
        <f t="shared" si="197"/>
        <v>0</v>
      </c>
      <c r="Y294" s="10">
        <f t="shared" si="198"/>
        <v>0</v>
      </c>
      <c r="Z294" s="10">
        <f t="shared" si="199"/>
        <v>0</v>
      </c>
      <c r="AA294" s="10">
        <f t="shared" si="200"/>
        <v>0</v>
      </c>
      <c r="AB294" s="10">
        <f t="shared" si="201"/>
        <v>0</v>
      </c>
      <c r="AC294" s="10">
        <f t="shared" si="202"/>
        <v>0</v>
      </c>
      <c r="AD294" s="10">
        <f t="shared" si="203"/>
        <v>0</v>
      </c>
      <c r="AE294" s="10">
        <f t="shared" si="204"/>
        <v>0</v>
      </c>
      <c r="AF294" s="10">
        <f t="shared" si="205"/>
        <v>0</v>
      </c>
      <c r="AG294" s="10">
        <f t="shared" si="206"/>
        <v>0</v>
      </c>
      <c r="AH294" s="10">
        <f t="shared" si="207"/>
        <v>0</v>
      </c>
      <c r="AI294" s="10">
        <f t="shared" si="208"/>
        <v>0</v>
      </c>
      <c r="AJ294" s="10">
        <f t="shared" si="209"/>
        <v>0</v>
      </c>
      <c r="AK294" s="10">
        <f t="shared" si="210"/>
        <v>0</v>
      </c>
      <c r="AL294" s="10">
        <f t="shared" si="211"/>
        <v>0</v>
      </c>
      <c r="AM294" s="10">
        <f t="shared" si="212"/>
        <v>0</v>
      </c>
      <c r="AN294" s="46">
        <f t="shared" si="213"/>
        <v>0</v>
      </c>
      <c r="AO294" s="10">
        <f t="shared" si="214"/>
        <v>0</v>
      </c>
      <c r="AP294" s="10">
        <f t="shared" si="215"/>
        <v>0</v>
      </c>
      <c r="AQ294" s="10">
        <f t="shared" si="216"/>
        <v>0</v>
      </c>
      <c r="AR294" s="10">
        <f t="shared" si="217"/>
        <v>0</v>
      </c>
      <c r="AS294" s="10">
        <f t="shared" si="218"/>
        <v>0</v>
      </c>
      <c r="AT294" s="10">
        <f t="shared" si="219"/>
        <v>0</v>
      </c>
      <c r="AU294" s="10">
        <f t="shared" si="220"/>
        <v>0</v>
      </c>
      <c r="AV294" s="10">
        <f t="shared" si="221"/>
        <v>0</v>
      </c>
      <c r="AW294" s="10">
        <f t="shared" si="222"/>
        <v>0</v>
      </c>
      <c r="AX294" s="10">
        <f t="shared" si="223"/>
        <v>0</v>
      </c>
    </row>
    <row r="295" spans="1:50" x14ac:dyDescent="0.2">
      <c r="A295" s="8">
        <v>17850</v>
      </c>
      <c r="B295" s="89" t="str">
        <f t="shared" si="175"/>
        <v>Walcha</v>
      </c>
      <c r="C295" s="9" t="str">
        <f t="shared" si="176"/>
        <v>NIRW</v>
      </c>
      <c r="D295" s="51" t="str">
        <f t="shared" si="177"/>
        <v>N</v>
      </c>
      <c r="E295" s="10" t="str">
        <f t="shared" si="178"/>
        <v>NJO</v>
      </c>
      <c r="F295" s="10">
        <f t="shared" si="179"/>
        <v>3105</v>
      </c>
      <c r="G295" s="10">
        <f t="shared" si="180"/>
        <v>1829</v>
      </c>
      <c r="H295" s="10">
        <f t="shared" si="181"/>
        <v>1.6976489885183159</v>
      </c>
      <c r="I295" s="10">
        <f t="shared" si="182"/>
        <v>6261</v>
      </c>
      <c r="J295" s="10">
        <f t="shared" si="183"/>
        <v>0.5</v>
      </c>
      <c r="K295" s="10">
        <f t="shared" si="184"/>
        <v>655</v>
      </c>
      <c r="L295" s="10" t="str">
        <f t="shared" si="185"/>
        <v>Y</v>
      </c>
      <c r="M295" s="10">
        <f t="shared" si="186"/>
        <v>781</v>
      </c>
      <c r="N295" s="10">
        <f t="shared" si="187"/>
        <v>763</v>
      </c>
      <c r="O295" s="10">
        <f t="shared" si="188"/>
        <v>763</v>
      </c>
      <c r="P295" s="10">
        <f t="shared" si="189"/>
        <v>0</v>
      </c>
      <c r="Q295" s="10">
        <f t="shared" si="190"/>
        <v>0</v>
      </c>
      <c r="R295" s="10" t="str">
        <f t="shared" si="191"/>
        <v>Yes</v>
      </c>
      <c r="S295" s="10">
        <f t="shared" si="192"/>
        <v>0</v>
      </c>
      <c r="T295" s="10">
        <f t="shared" si="193"/>
        <v>0</v>
      </c>
      <c r="U295" s="10">
        <f t="shared" si="194"/>
        <v>0</v>
      </c>
      <c r="V295" s="10">
        <f t="shared" si="195"/>
        <v>0</v>
      </c>
      <c r="W295" s="10">
        <f t="shared" si="196"/>
        <v>0</v>
      </c>
      <c r="X295" s="10">
        <f t="shared" si="197"/>
        <v>0</v>
      </c>
      <c r="Y295" s="10">
        <f t="shared" si="198"/>
        <v>0</v>
      </c>
      <c r="Z295" s="10">
        <f t="shared" si="199"/>
        <v>0</v>
      </c>
      <c r="AA295" s="10">
        <f t="shared" si="200"/>
        <v>0</v>
      </c>
      <c r="AB295" s="10">
        <f t="shared" si="201"/>
        <v>0</v>
      </c>
      <c r="AC295" s="10">
        <f t="shared" si="202"/>
        <v>0</v>
      </c>
      <c r="AD295" s="10">
        <f t="shared" si="203"/>
        <v>0</v>
      </c>
      <c r="AE295" s="10">
        <f t="shared" si="204"/>
        <v>0</v>
      </c>
      <c r="AF295" s="10">
        <f t="shared" si="205"/>
        <v>0</v>
      </c>
      <c r="AG295" s="10">
        <f t="shared" si="206"/>
        <v>0</v>
      </c>
      <c r="AH295" s="10">
        <f t="shared" si="207"/>
        <v>0</v>
      </c>
      <c r="AI295" s="10">
        <f t="shared" si="208"/>
        <v>0</v>
      </c>
      <c r="AJ295" s="10">
        <f t="shared" si="209"/>
        <v>0</v>
      </c>
      <c r="AK295" s="10">
        <f t="shared" si="210"/>
        <v>0</v>
      </c>
      <c r="AL295" s="10">
        <f t="shared" si="211"/>
        <v>0</v>
      </c>
      <c r="AM295" s="10">
        <f t="shared" si="212"/>
        <v>0</v>
      </c>
      <c r="AN295" s="46">
        <f t="shared" si="213"/>
        <v>0</v>
      </c>
      <c r="AO295" s="10">
        <f t="shared" si="214"/>
        <v>0</v>
      </c>
      <c r="AP295" s="10">
        <f t="shared" si="215"/>
        <v>0</v>
      </c>
      <c r="AQ295" s="10">
        <f t="shared" si="216"/>
        <v>0</v>
      </c>
      <c r="AR295" s="10">
        <f t="shared" si="217"/>
        <v>0</v>
      </c>
      <c r="AS295" s="10">
        <f t="shared" si="218"/>
        <v>0</v>
      </c>
      <c r="AT295" s="10">
        <f t="shared" si="219"/>
        <v>0</v>
      </c>
      <c r="AU295" s="10">
        <f t="shared" si="220"/>
        <v>0</v>
      </c>
      <c r="AV295" s="10">
        <f t="shared" si="221"/>
        <v>0</v>
      </c>
      <c r="AW295" s="10">
        <f t="shared" si="222"/>
        <v>0</v>
      </c>
      <c r="AX295" s="10">
        <f t="shared" si="223"/>
        <v>0</v>
      </c>
    </row>
    <row r="296" spans="1:50" x14ac:dyDescent="0.2">
      <c r="A296" s="8">
        <v>17900</v>
      </c>
      <c r="B296" s="89" t="str">
        <f t="shared" si="175"/>
        <v>Walgett</v>
      </c>
      <c r="C296" s="9" t="str">
        <f t="shared" si="176"/>
        <v>NetWaste</v>
      </c>
      <c r="D296" s="51" t="str">
        <f t="shared" si="177"/>
        <v>N</v>
      </c>
      <c r="E296" s="10" t="str">
        <f t="shared" si="178"/>
        <v>FNWJO</v>
      </c>
      <c r="F296" s="10">
        <f t="shared" si="179"/>
        <v>5828</v>
      </c>
      <c r="G296" s="10">
        <f t="shared" si="180"/>
        <v>4868</v>
      </c>
      <c r="H296" s="10">
        <f t="shared" si="181"/>
        <v>1.1972062448644207</v>
      </c>
      <c r="I296" s="10">
        <f t="shared" si="182"/>
        <v>22308.400000000001</v>
      </c>
      <c r="J296" s="10">
        <f t="shared" si="183"/>
        <v>0.3</v>
      </c>
      <c r="K296" s="10">
        <f t="shared" si="184"/>
        <v>535</v>
      </c>
      <c r="L296" s="10" t="str">
        <f t="shared" si="185"/>
        <v>Y</v>
      </c>
      <c r="M296" s="10">
        <f t="shared" si="186"/>
        <v>1533</v>
      </c>
      <c r="N296" s="10">
        <f t="shared" si="187"/>
        <v>0</v>
      </c>
      <c r="O296" s="10">
        <f t="shared" si="188"/>
        <v>0</v>
      </c>
      <c r="P296" s="10">
        <f t="shared" si="189"/>
        <v>0</v>
      </c>
      <c r="Q296" s="10">
        <f t="shared" si="190"/>
        <v>0</v>
      </c>
      <c r="R296" s="10" t="str">
        <f t="shared" si="191"/>
        <v>Yes</v>
      </c>
      <c r="S296" s="10" t="str">
        <f t="shared" si="192"/>
        <v>Walgett waste facility</v>
      </c>
      <c r="T296" s="10" t="str">
        <f t="shared" si="193"/>
        <v>Lightning Ridge waste facility</v>
      </c>
      <c r="U296" s="10" t="str">
        <f t="shared" si="194"/>
        <v>Rowena Waste facility</v>
      </c>
      <c r="V296" s="10" t="str">
        <f t="shared" si="195"/>
        <v>Burren junction waste facility</v>
      </c>
      <c r="W296" s="10" t="str">
        <f t="shared" si="196"/>
        <v>Come-by Chance waste facility</v>
      </c>
      <c r="X296" s="10" t="str">
        <f t="shared" si="197"/>
        <v>Collarenebri waste facility</v>
      </c>
      <c r="Y296" s="10" t="str">
        <f t="shared" si="198"/>
        <v>Carinda Waste facility</v>
      </c>
      <c r="Z296" s="10">
        <f t="shared" si="199"/>
        <v>0</v>
      </c>
      <c r="AA296" s="10">
        <f t="shared" si="200"/>
        <v>0</v>
      </c>
      <c r="AB296" s="10">
        <f t="shared" si="201"/>
        <v>0</v>
      </c>
      <c r="AC296" s="10">
        <f t="shared" si="202"/>
        <v>0</v>
      </c>
      <c r="AD296" s="10">
        <f t="shared" si="203"/>
        <v>0</v>
      </c>
      <c r="AE296" s="10">
        <f t="shared" si="204"/>
        <v>0</v>
      </c>
      <c r="AF296" s="10">
        <f t="shared" si="205"/>
        <v>0</v>
      </c>
      <c r="AG296" s="10">
        <f t="shared" si="206"/>
        <v>0</v>
      </c>
      <c r="AH296" s="10">
        <f t="shared" si="207"/>
        <v>0</v>
      </c>
      <c r="AI296" s="10">
        <f t="shared" si="208"/>
        <v>0</v>
      </c>
      <c r="AJ296" s="10">
        <f t="shared" si="209"/>
        <v>0</v>
      </c>
      <c r="AK296" s="10">
        <f t="shared" si="210"/>
        <v>0</v>
      </c>
      <c r="AL296" s="10">
        <f t="shared" si="211"/>
        <v>0</v>
      </c>
      <c r="AM296" s="10">
        <f t="shared" si="212"/>
        <v>0</v>
      </c>
      <c r="AN296" s="46">
        <f t="shared" si="213"/>
        <v>0</v>
      </c>
      <c r="AO296" s="10">
        <f t="shared" si="214"/>
        <v>0</v>
      </c>
      <c r="AP296" s="10">
        <f t="shared" si="215"/>
        <v>0</v>
      </c>
      <c r="AQ296" s="10">
        <f t="shared" si="216"/>
        <v>0</v>
      </c>
      <c r="AR296" s="10">
        <f t="shared" si="217"/>
        <v>0</v>
      </c>
      <c r="AS296" s="10">
        <f t="shared" si="218"/>
        <v>0</v>
      </c>
      <c r="AT296" s="10">
        <f t="shared" si="219"/>
        <v>0</v>
      </c>
      <c r="AU296" s="10">
        <f t="shared" si="220"/>
        <v>0</v>
      </c>
      <c r="AV296" s="10">
        <f t="shared" si="221"/>
        <v>0</v>
      </c>
      <c r="AW296" s="10">
        <f t="shared" si="222"/>
        <v>0</v>
      </c>
      <c r="AX296" s="10">
        <f t="shared" si="223"/>
        <v>0</v>
      </c>
    </row>
    <row r="297" spans="1:50" x14ac:dyDescent="0.2">
      <c r="A297" s="8">
        <v>17950</v>
      </c>
      <c r="B297" s="89" t="str">
        <f t="shared" si="175"/>
        <v>Warren</v>
      </c>
      <c r="C297" s="9" t="str">
        <f t="shared" si="176"/>
        <v>NetWaste</v>
      </c>
      <c r="D297" s="51" t="str">
        <f t="shared" si="177"/>
        <v>N</v>
      </c>
      <c r="E297" s="10" t="str">
        <f t="shared" si="178"/>
        <v>OJO</v>
      </c>
      <c r="F297" s="10">
        <f t="shared" si="179"/>
        <v>2716</v>
      </c>
      <c r="G297" s="10">
        <f t="shared" si="180"/>
        <v>2058</v>
      </c>
      <c r="H297" s="10">
        <f t="shared" si="181"/>
        <v>1.3197278911564625</v>
      </c>
      <c r="I297" s="10">
        <f t="shared" si="182"/>
        <v>10753.8</v>
      </c>
      <c r="J297" s="10">
        <f t="shared" si="183"/>
        <v>0.3</v>
      </c>
      <c r="K297" s="10">
        <f t="shared" si="184"/>
        <v>278</v>
      </c>
      <c r="L297" s="10" t="str">
        <f t="shared" si="185"/>
        <v>Y</v>
      </c>
      <c r="M297" s="10">
        <f t="shared" si="186"/>
        <v>950</v>
      </c>
      <c r="N297" s="10">
        <f t="shared" si="187"/>
        <v>0</v>
      </c>
      <c r="O297" s="10">
        <f t="shared" si="188"/>
        <v>0</v>
      </c>
      <c r="P297" s="10">
        <f t="shared" si="189"/>
        <v>0</v>
      </c>
      <c r="Q297" s="10">
        <f t="shared" si="190"/>
        <v>2058</v>
      </c>
      <c r="R297" s="10" t="str">
        <f t="shared" si="191"/>
        <v>Yes</v>
      </c>
      <c r="S297" s="10">
        <f t="shared" si="192"/>
        <v>0</v>
      </c>
      <c r="T297" s="10">
        <f t="shared" si="193"/>
        <v>0</v>
      </c>
      <c r="U297" s="10">
        <f t="shared" si="194"/>
        <v>0</v>
      </c>
      <c r="V297" s="10">
        <f t="shared" si="195"/>
        <v>0</v>
      </c>
      <c r="W297" s="10">
        <f t="shared" si="196"/>
        <v>0</v>
      </c>
      <c r="X297" s="10">
        <f t="shared" si="197"/>
        <v>0</v>
      </c>
      <c r="Y297" s="10">
        <f t="shared" si="198"/>
        <v>0</v>
      </c>
      <c r="Z297" s="10">
        <f t="shared" si="199"/>
        <v>0</v>
      </c>
      <c r="AA297" s="10">
        <f t="shared" si="200"/>
        <v>0</v>
      </c>
      <c r="AB297" s="10">
        <f t="shared" si="201"/>
        <v>0</v>
      </c>
      <c r="AC297" s="10">
        <f t="shared" si="202"/>
        <v>0</v>
      </c>
      <c r="AD297" s="10">
        <f t="shared" si="203"/>
        <v>0</v>
      </c>
      <c r="AE297" s="10">
        <f t="shared" si="204"/>
        <v>0</v>
      </c>
      <c r="AF297" s="10">
        <f t="shared" si="205"/>
        <v>0</v>
      </c>
      <c r="AG297" s="10">
        <f t="shared" si="206"/>
        <v>0</v>
      </c>
      <c r="AH297" s="10">
        <f t="shared" si="207"/>
        <v>0</v>
      </c>
      <c r="AI297" s="10">
        <f t="shared" si="208"/>
        <v>0</v>
      </c>
      <c r="AJ297" s="10">
        <f t="shared" si="209"/>
        <v>0</v>
      </c>
      <c r="AK297" s="10">
        <f t="shared" si="210"/>
        <v>0</v>
      </c>
      <c r="AL297" s="10">
        <f t="shared" si="211"/>
        <v>0</v>
      </c>
      <c r="AM297" s="10">
        <f t="shared" si="212"/>
        <v>0</v>
      </c>
      <c r="AN297" s="46">
        <f t="shared" si="213"/>
        <v>0</v>
      </c>
      <c r="AO297" s="10">
        <f t="shared" si="214"/>
        <v>0</v>
      </c>
      <c r="AP297" s="10">
        <f t="shared" si="215"/>
        <v>0</v>
      </c>
      <c r="AQ297" s="10">
        <f t="shared" si="216"/>
        <v>0</v>
      </c>
      <c r="AR297" s="10">
        <f t="shared" si="217"/>
        <v>0</v>
      </c>
      <c r="AS297" s="10">
        <f t="shared" si="218"/>
        <v>0</v>
      </c>
      <c r="AT297" s="10">
        <f t="shared" si="219"/>
        <v>0</v>
      </c>
      <c r="AU297" s="10">
        <f t="shared" si="220"/>
        <v>0</v>
      </c>
      <c r="AV297" s="10">
        <f t="shared" si="221"/>
        <v>0</v>
      </c>
      <c r="AW297" s="10">
        <f t="shared" si="222"/>
        <v>0</v>
      </c>
      <c r="AX297" s="10">
        <f t="shared" si="223"/>
        <v>0</v>
      </c>
    </row>
    <row r="298" spans="1:50" x14ac:dyDescent="0.2">
      <c r="A298" s="8">
        <v>18020</v>
      </c>
      <c r="B298" s="89" t="str">
        <f t="shared" si="175"/>
        <v>Warrumbungle Shire</v>
      </c>
      <c r="C298" s="9" t="str">
        <f t="shared" si="176"/>
        <v>NetWaste</v>
      </c>
      <c r="D298" s="51" t="str">
        <f t="shared" si="177"/>
        <v>N</v>
      </c>
      <c r="E298" s="10" t="str">
        <f t="shared" si="178"/>
        <v>OJO</v>
      </c>
      <c r="F298" s="10">
        <f t="shared" si="179"/>
        <v>9209</v>
      </c>
      <c r="G298" s="10">
        <f t="shared" si="180"/>
        <v>6361</v>
      </c>
      <c r="H298" s="10">
        <f t="shared" si="181"/>
        <v>1.4477283445999056</v>
      </c>
      <c r="I298" s="10">
        <f t="shared" si="182"/>
        <v>12372.1</v>
      </c>
      <c r="J298" s="10">
        <f t="shared" si="183"/>
        <v>0.7</v>
      </c>
      <c r="K298" s="10">
        <f t="shared" si="184"/>
        <v>379</v>
      </c>
      <c r="L298" s="10" t="str">
        <f t="shared" si="185"/>
        <v>Y</v>
      </c>
      <c r="M298" s="10">
        <f t="shared" si="186"/>
        <v>5805</v>
      </c>
      <c r="N298" s="10">
        <f t="shared" si="187"/>
        <v>5805</v>
      </c>
      <c r="O298" s="10">
        <f t="shared" si="188"/>
        <v>0</v>
      </c>
      <c r="P298" s="10">
        <f t="shared" si="189"/>
        <v>0</v>
      </c>
      <c r="Q298" s="10">
        <f t="shared" si="190"/>
        <v>0</v>
      </c>
      <c r="R298" s="10" t="str">
        <f t="shared" si="191"/>
        <v>Yes</v>
      </c>
      <c r="S298" s="10" t="str">
        <f t="shared" si="192"/>
        <v>Warrumbungle Shire Council</v>
      </c>
      <c r="T298" s="10">
        <f t="shared" si="193"/>
        <v>0</v>
      </c>
      <c r="U298" s="10">
        <f t="shared" si="194"/>
        <v>0</v>
      </c>
      <c r="V298" s="10">
        <f t="shared" si="195"/>
        <v>0</v>
      </c>
      <c r="W298" s="10">
        <f t="shared" si="196"/>
        <v>0</v>
      </c>
      <c r="X298" s="10">
        <f t="shared" si="197"/>
        <v>0</v>
      </c>
      <c r="Y298" s="10">
        <f t="shared" si="198"/>
        <v>0</v>
      </c>
      <c r="Z298" s="10">
        <f t="shared" si="199"/>
        <v>0</v>
      </c>
      <c r="AA298" s="10">
        <f t="shared" si="200"/>
        <v>0</v>
      </c>
      <c r="AB298" s="10">
        <f t="shared" si="201"/>
        <v>0</v>
      </c>
      <c r="AC298" s="10">
        <f t="shared" si="202"/>
        <v>0</v>
      </c>
      <c r="AD298" s="10">
        <f t="shared" si="203"/>
        <v>0</v>
      </c>
      <c r="AE298" s="10">
        <f t="shared" si="204"/>
        <v>0</v>
      </c>
      <c r="AF298" s="10">
        <f t="shared" si="205"/>
        <v>0</v>
      </c>
      <c r="AG298" s="10">
        <f t="shared" si="206"/>
        <v>0</v>
      </c>
      <c r="AH298" s="10">
        <f t="shared" si="207"/>
        <v>0</v>
      </c>
      <c r="AI298" s="10">
        <f t="shared" si="208"/>
        <v>0</v>
      </c>
      <c r="AJ298" s="10">
        <f t="shared" si="209"/>
        <v>0</v>
      </c>
      <c r="AK298" s="10">
        <f t="shared" si="210"/>
        <v>0</v>
      </c>
      <c r="AL298" s="10">
        <f t="shared" si="211"/>
        <v>0</v>
      </c>
      <c r="AM298" s="10">
        <f t="shared" si="212"/>
        <v>0</v>
      </c>
      <c r="AN298" s="46">
        <f t="shared" si="213"/>
        <v>0</v>
      </c>
      <c r="AO298" s="10">
        <f t="shared" si="214"/>
        <v>0</v>
      </c>
      <c r="AP298" s="10">
        <f t="shared" si="215"/>
        <v>0</v>
      </c>
      <c r="AQ298" s="10">
        <f t="shared" si="216"/>
        <v>0</v>
      </c>
      <c r="AR298" s="10">
        <f t="shared" si="217"/>
        <v>0</v>
      </c>
      <c r="AS298" s="10">
        <f t="shared" si="218"/>
        <v>0</v>
      </c>
      <c r="AT298" s="10">
        <f t="shared" si="219"/>
        <v>0</v>
      </c>
      <c r="AU298" s="10">
        <f t="shared" si="220"/>
        <v>0</v>
      </c>
      <c r="AV298" s="10">
        <f t="shared" si="221"/>
        <v>0</v>
      </c>
      <c r="AW298" s="10">
        <f t="shared" si="222"/>
        <v>0</v>
      </c>
      <c r="AX298" s="10">
        <f t="shared" si="223"/>
        <v>0</v>
      </c>
    </row>
    <row r="299" spans="1:50" x14ac:dyDescent="0.2">
      <c r="A299" s="8">
        <v>18100</v>
      </c>
      <c r="B299" s="89" t="str">
        <f t="shared" ref="B299:B301" si="224">VLOOKUP($A299,$A$5:$K$132,2,FALSE)</f>
        <v>Weddin</v>
      </c>
      <c r="C299" s="9" t="str">
        <f t="shared" ref="C299:C301" si="225">VLOOKUP($A299,$A$5:$K$133,3,FALSE)</f>
        <v>NetWaste</v>
      </c>
      <c r="D299" s="51" t="str">
        <f t="shared" ref="D299:D301" si="226">VLOOKUP($A299,$A$5:$K$133,4,FALSE)</f>
        <v>N</v>
      </c>
      <c r="E299" s="10" t="str">
        <f t="shared" ref="E299:E301" si="227">VLOOKUP($A299,$A$5:$AX$132,5,FALSE)</f>
        <v>CNJO</v>
      </c>
      <c r="F299" s="10">
        <f t="shared" ref="F299:F301" si="228">VLOOKUP($A299,$A$5:$AX$132,6,FALSE)</f>
        <v>3596</v>
      </c>
      <c r="G299" s="10">
        <f t="shared" ref="G299:G301" si="229">VLOOKUP($A299,$A$5:$AX$132,7,FALSE)</f>
        <v>2606</v>
      </c>
      <c r="H299" s="10">
        <f t="shared" ref="H299:H301" si="230">VLOOKUP($A299,$A$5:$AX$132,8,FALSE)</f>
        <v>1.3798925556408288</v>
      </c>
      <c r="I299" s="10">
        <f t="shared" ref="I299:I301" si="231">VLOOKUP($A299,$A$5:$AX$132,9,FALSE)</f>
        <v>3414.9</v>
      </c>
      <c r="J299" s="10">
        <f t="shared" ref="J299:J301" si="232">VLOOKUP($A299,$A$5:$AX$132,10,FALSE)</f>
        <v>1.1000000000000001</v>
      </c>
      <c r="K299" s="10">
        <f t="shared" ref="K299:K301" si="233">VLOOKUP($A299,$A$5:$AX$132,11,FALSE)</f>
        <v>310</v>
      </c>
      <c r="L299" s="10" t="str">
        <f t="shared" ref="L299:L301" si="234">VLOOKUP($A299,$A$4:$AX$132,12,FALSE)</f>
        <v>Y</v>
      </c>
      <c r="M299" s="10">
        <f t="shared" ref="M299:M301" si="235">VLOOKUP($A299,$A$4:$AX$132,13,FALSE)</f>
        <v>1142</v>
      </c>
      <c r="N299" s="10">
        <f t="shared" ref="N299:N301" si="236">VLOOKUP($A299,$A$4:$AX$132,14,FALSE)</f>
        <v>1046</v>
      </c>
      <c r="O299" s="10">
        <f t="shared" ref="O299:O301" si="237">VLOOKUP($A299,$A$4:$AX$132,15,FALSE)</f>
        <v>0</v>
      </c>
      <c r="P299" s="10">
        <f t="shared" ref="P299:P301" si="238">VLOOKUP($A299,$A$4:$AX$132,16,FALSE)</f>
        <v>0</v>
      </c>
      <c r="Q299" s="10">
        <f t="shared" ref="Q299:Q301" si="239">VLOOKUP($A299,$A$4:$AX$132,17,FALSE)</f>
        <v>0</v>
      </c>
      <c r="R299" s="10" t="str">
        <f t="shared" ref="R299:R301" si="240">VLOOKUP($A299,$A$4:$AX$132,18,FALSE)</f>
        <v>Yes</v>
      </c>
      <c r="S299" s="10" t="str">
        <f t="shared" ref="S299:S301" si="241">VLOOKUP($A299,$A$4:$AX$132,19,FALSE)</f>
        <v>Grenfell Landfill</v>
      </c>
      <c r="T299" s="10" t="str">
        <f t="shared" ref="T299:T301" si="242">VLOOKUP($A299,$A$4:$AX$132,20,FALSE)</f>
        <v>Quandialla Landfill</v>
      </c>
      <c r="U299" s="10" t="str">
        <f t="shared" ref="U299:U301" si="243">VLOOKUP($A299,$A$4:$AX$132,21,FALSE)</f>
        <v>Caragabal Landfill</v>
      </c>
      <c r="V299" s="10">
        <f t="shared" ref="V299:V301" si="244">VLOOKUP($A299,$A$4:$AX$132,22,FALSE)</f>
        <v>0</v>
      </c>
      <c r="W299" s="10">
        <f t="shared" ref="W299:W301" si="245">VLOOKUP($A299,$A$4:$AX$132,23,FALSE)</f>
        <v>0</v>
      </c>
      <c r="X299" s="10">
        <f t="shared" ref="X299:X301" si="246">VLOOKUP($A299,$A$4:$AX$132,24,FALSE)</f>
        <v>0</v>
      </c>
      <c r="Y299" s="10">
        <f t="shared" ref="Y299:Y301" si="247">VLOOKUP($A299,$A$4:$AX$132,25,FALSE)</f>
        <v>0</v>
      </c>
      <c r="Z299" s="10">
        <f t="shared" ref="Z299:Z301" si="248">VLOOKUP($A299,$A$4:$AX$132,26,FALSE)</f>
        <v>0</v>
      </c>
      <c r="AA299" s="10">
        <f t="shared" ref="AA299:AA301" si="249">VLOOKUP($A299,$A$4:$AX$132,27,FALSE)</f>
        <v>0</v>
      </c>
      <c r="AB299" s="10">
        <f t="shared" ref="AB299:AB301" si="250">VLOOKUP($A299,$A$4:$AX$132,28,FALSE)</f>
        <v>0</v>
      </c>
      <c r="AC299" s="10">
        <f t="shared" ref="AC299:AC301" si="251">VLOOKUP($A299,$A$4:$AX$132,29,FALSE)</f>
        <v>0</v>
      </c>
      <c r="AD299" s="10">
        <f t="shared" ref="AD299:AD301" si="252">VLOOKUP($A299,$A$4:$AX$132,30,FALSE)</f>
        <v>0</v>
      </c>
      <c r="AE299" s="10">
        <f t="shared" ref="AE299:AE301" si="253">VLOOKUP($A299,$A$4:$AX$132,31,FALSE)</f>
        <v>0</v>
      </c>
      <c r="AF299" s="10">
        <f t="shared" ref="AF299:AF301" si="254">VLOOKUP($A299,$A$4:$AX$132,32,FALSE)</f>
        <v>0</v>
      </c>
      <c r="AG299" s="10">
        <f t="shared" ref="AG299:AG301" si="255">VLOOKUP($A299,$A$4:$AX$132,33,FALSE)</f>
        <v>0</v>
      </c>
      <c r="AH299" s="10">
        <f t="shared" ref="AH299:AH301" si="256">VLOOKUP($A299,$A$4:$AX$132,34,FALSE)</f>
        <v>0</v>
      </c>
      <c r="AI299" s="10">
        <f t="shared" ref="AI299:AI301" si="257">VLOOKUP($A299,$A$4:$AX$132,35,FALSE)</f>
        <v>0</v>
      </c>
      <c r="AJ299" s="10">
        <f t="shared" ref="AJ299:AJ301" si="258">VLOOKUP($A299,$A$4:$AX$132,36,FALSE)</f>
        <v>0</v>
      </c>
      <c r="AK299" s="10">
        <f t="shared" ref="AK299:AK301" si="259">VLOOKUP($A299,$A$4:$AX$132,37,FALSE)</f>
        <v>0</v>
      </c>
      <c r="AL299" s="10">
        <f t="shared" ref="AL299:AL301" si="260">VLOOKUP($A299,$A$4:$AX$132,38,FALSE)</f>
        <v>0</v>
      </c>
      <c r="AM299" s="10">
        <f t="shared" ref="AM299:AM301" si="261">VLOOKUP($A299,$A$4:$AX$132,39,FALSE)</f>
        <v>0</v>
      </c>
      <c r="AN299" s="46">
        <f t="shared" ref="AN299:AN301" si="262">VLOOKUP($A299,$A$4:$AX$132,40,FALSE)</f>
        <v>0</v>
      </c>
      <c r="AO299" s="10">
        <f t="shared" ref="AO299:AO301" si="263">VLOOKUP($A299,$A$4:$AX$132,41,FALSE)</f>
        <v>0</v>
      </c>
      <c r="AP299" s="10">
        <f t="shared" ref="AP299:AP301" si="264">VLOOKUP($A299,$A$4:$AX$132,42,FALSE)</f>
        <v>0</v>
      </c>
      <c r="AQ299" s="10">
        <f t="shared" ref="AQ299:AQ301" si="265">VLOOKUP($A299,$A$4:$AX$132,43,FALSE)</f>
        <v>0</v>
      </c>
      <c r="AR299" s="10">
        <f t="shared" ref="AR299:AR301" si="266">VLOOKUP($A299,$A$4:$AX$132,44,FALSE)</f>
        <v>0</v>
      </c>
      <c r="AS299" s="10">
        <f t="shared" ref="AS299:AS301" si="267">VLOOKUP($A299,$A$4:$AX$132,45,FALSE)</f>
        <v>0</v>
      </c>
      <c r="AT299" s="10">
        <f t="shared" ref="AT299:AT301" si="268">VLOOKUP($A299,$A$4:$AX$132,46,FALSE)</f>
        <v>0</v>
      </c>
      <c r="AU299" s="10">
        <f t="shared" ref="AU299:AU301" si="269">VLOOKUP($A299,$A$4:$AX$132,47,FALSE)</f>
        <v>0</v>
      </c>
      <c r="AV299" s="10">
        <f t="shared" ref="AV299:AV301" si="270">VLOOKUP($A299,$A$4:$AX$132,48,FALSE)</f>
        <v>0</v>
      </c>
      <c r="AW299" s="10">
        <f t="shared" ref="AW299:AW301" si="271">VLOOKUP($A299,$A$4:$AX$132,49,FALSE)</f>
        <v>0</v>
      </c>
      <c r="AX299" s="10">
        <f t="shared" ref="AX299:AX301" si="272">VLOOKUP($A299,$A$4:$AX$132,50,FALSE)</f>
        <v>0</v>
      </c>
    </row>
    <row r="300" spans="1:50" x14ac:dyDescent="0.2">
      <c r="A300" s="8">
        <v>18200</v>
      </c>
      <c r="B300" s="89" t="str">
        <f t="shared" si="224"/>
        <v>Wentworth</v>
      </c>
      <c r="C300" s="9" t="str">
        <f t="shared" si="225"/>
        <v>RAMJO Murray</v>
      </c>
      <c r="D300" s="51" t="str">
        <f t="shared" si="226"/>
        <v>N</v>
      </c>
      <c r="E300" s="10" t="str">
        <f t="shared" si="227"/>
        <v>FSWJO</v>
      </c>
      <c r="F300" s="10">
        <f t="shared" si="228"/>
        <v>7090</v>
      </c>
      <c r="G300" s="10">
        <f t="shared" si="229"/>
        <v>2913</v>
      </c>
      <c r="H300" s="10">
        <f t="shared" si="230"/>
        <v>2.4339169241331962</v>
      </c>
      <c r="I300" s="10">
        <f t="shared" si="231"/>
        <v>26256.2</v>
      </c>
      <c r="J300" s="10">
        <f t="shared" si="232"/>
        <v>0.3</v>
      </c>
      <c r="K300" s="10">
        <f t="shared" si="233"/>
        <v>295</v>
      </c>
      <c r="L300" s="10" t="str">
        <f t="shared" si="234"/>
        <v>Y</v>
      </c>
      <c r="M300" s="10">
        <f t="shared" si="235"/>
        <v>2530</v>
      </c>
      <c r="N300" s="10">
        <f t="shared" si="236"/>
        <v>0</v>
      </c>
      <c r="O300" s="10">
        <f t="shared" si="237"/>
        <v>0</v>
      </c>
      <c r="P300" s="10">
        <f t="shared" si="238"/>
        <v>0</v>
      </c>
      <c r="Q300" s="10">
        <f t="shared" si="239"/>
        <v>2913</v>
      </c>
      <c r="R300" s="10" t="str">
        <f t="shared" si="240"/>
        <v>Yes</v>
      </c>
      <c r="S300" s="10">
        <f t="shared" si="241"/>
        <v>0</v>
      </c>
      <c r="T300" s="10">
        <f t="shared" si="242"/>
        <v>0</v>
      </c>
      <c r="U300" s="10">
        <f t="shared" si="243"/>
        <v>0</v>
      </c>
      <c r="V300" s="10">
        <f t="shared" si="244"/>
        <v>0</v>
      </c>
      <c r="W300" s="10">
        <f t="shared" si="245"/>
        <v>0</v>
      </c>
      <c r="X300" s="10">
        <f t="shared" si="246"/>
        <v>0</v>
      </c>
      <c r="Y300" s="10">
        <f t="shared" si="247"/>
        <v>0</v>
      </c>
      <c r="Z300" s="10">
        <f t="shared" si="248"/>
        <v>0</v>
      </c>
      <c r="AA300" s="10">
        <f t="shared" si="249"/>
        <v>0</v>
      </c>
      <c r="AB300" s="10">
        <f t="shared" si="250"/>
        <v>0</v>
      </c>
      <c r="AC300" s="10">
        <f t="shared" si="251"/>
        <v>0</v>
      </c>
      <c r="AD300" s="10">
        <f t="shared" si="252"/>
        <v>0</v>
      </c>
      <c r="AE300" s="10">
        <f t="shared" si="253"/>
        <v>0</v>
      </c>
      <c r="AF300" s="10">
        <f t="shared" si="254"/>
        <v>0</v>
      </c>
      <c r="AG300" s="10">
        <f t="shared" si="255"/>
        <v>0</v>
      </c>
      <c r="AH300" s="10">
        <f t="shared" si="256"/>
        <v>0</v>
      </c>
      <c r="AI300" s="10">
        <f t="shared" si="257"/>
        <v>0</v>
      </c>
      <c r="AJ300" s="10">
        <f t="shared" si="258"/>
        <v>0</v>
      </c>
      <c r="AK300" s="10">
        <f t="shared" si="259"/>
        <v>0</v>
      </c>
      <c r="AL300" s="10">
        <f t="shared" si="260"/>
        <v>0</v>
      </c>
      <c r="AM300" s="10">
        <f t="shared" si="261"/>
        <v>0</v>
      </c>
      <c r="AN300" s="46">
        <f t="shared" si="262"/>
        <v>0</v>
      </c>
      <c r="AO300" s="10">
        <f t="shared" si="263"/>
        <v>0</v>
      </c>
      <c r="AP300" s="10">
        <f t="shared" si="264"/>
        <v>0</v>
      </c>
      <c r="AQ300" s="10">
        <f t="shared" si="265"/>
        <v>0</v>
      </c>
      <c r="AR300" s="10">
        <f t="shared" si="266"/>
        <v>0</v>
      </c>
      <c r="AS300" s="10">
        <f t="shared" si="267"/>
        <v>0</v>
      </c>
      <c r="AT300" s="10">
        <f t="shared" si="268"/>
        <v>0</v>
      </c>
      <c r="AU300" s="10">
        <f t="shared" si="269"/>
        <v>0</v>
      </c>
      <c r="AV300" s="10">
        <f t="shared" si="270"/>
        <v>0</v>
      </c>
      <c r="AW300" s="10">
        <f t="shared" si="271"/>
        <v>0</v>
      </c>
      <c r="AX300" s="10">
        <f t="shared" si="272"/>
        <v>0</v>
      </c>
    </row>
    <row r="301" spans="1:50" ht="13.5" thickBot="1" x14ac:dyDescent="0.25">
      <c r="A301" s="8">
        <v>18710</v>
      </c>
      <c r="B301" s="89" t="str">
        <f t="shared" si="224"/>
        <v>Yass Valley</v>
      </c>
      <c r="C301" s="9" t="str">
        <f t="shared" si="225"/>
        <v>CRJO</v>
      </c>
      <c r="D301" s="51" t="str">
        <f t="shared" si="226"/>
        <v>N</v>
      </c>
      <c r="E301" s="10" t="str">
        <f t="shared" si="227"/>
        <v>CRJO</v>
      </c>
      <c r="F301" s="10">
        <f t="shared" si="228"/>
        <v>17321</v>
      </c>
      <c r="G301" s="10">
        <f t="shared" si="229"/>
        <v>7781</v>
      </c>
      <c r="H301" s="10">
        <f t="shared" si="230"/>
        <v>2.2260634879835495</v>
      </c>
      <c r="I301" s="10">
        <f t="shared" si="231"/>
        <v>3995.3</v>
      </c>
      <c r="J301" s="10">
        <f t="shared" si="232"/>
        <v>4.3</v>
      </c>
      <c r="K301" s="10">
        <f t="shared" si="233"/>
        <v>407</v>
      </c>
      <c r="L301" s="10" t="str">
        <f t="shared" si="234"/>
        <v>Y</v>
      </c>
      <c r="M301" s="10">
        <f t="shared" si="235"/>
        <v>4589</v>
      </c>
      <c r="N301" s="10">
        <f t="shared" si="236"/>
        <v>4599</v>
      </c>
      <c r="O301" s="10">
        <f t="shared" si="237"/>
        <v>0</v>
      </c>
      <c r="P301" s="10">
        <f t="shared" si="238"/>
        <v>0</v>
      </c>
      <c r="Q301" s="10">
        <f t="shared" si="239"/>
        <v>0</v>
      </c>
      <c r="R301" s="10" t="str">
        <f t="shared" si="240"/>
        <v>Yes</v>
      </c>
      <c r="S301" s="10" t="str">
        <f t="shared" si="241"/>
        <v>Yass transferstation</v>
      </c>
      <c r="T301" s="10" t="str">
        <f t="shared" si="242"/>
        <v>Murrumbateman Transfer station</v>
      </c>
      <c r="U301" s="10" t="str">
        <f t="shared" si="243"/>
        <v>Binalong transfer station</v>
      </c>
      <c r="V301" s="10" t="str">
        <f t="shared" si="244"/>
        <v>Gundaroo transfer station</v>
      </c>
      <c r="W301" s="10" t="str">
        <f t="shared" si="245"/>
        <v>Bookham transfer station</v>
      </c>
      <c r="X301" s="10" t="str">
        <f t="shared" si="246"/>
        <v>bowning transfer station</v>
      </c>
      <c r="Y301" s="10">
        <f t="shared" si="247"/>
        <v>0</v>
      </c>
      <c r="Z301" s="10">
        <f t="shared" si="248"/>
        <v>0</v>
      </c>
      <c r="AA301" s="10">
        <f t="shared" si="249"/>
        <v>0</v>
      </c>
      <c r="AB301" s="10">
        <f t="shared" si="250"/>
        <v>0</v>
      </c>
      <c r="AC301" s="10">
        <f t="shared" si="251"/>
        <v>0</v>
      </c>
      <c r="AD301" s="10">
        <f t="shared" si="252"/>
        <v>0</v>
      </c>
      <c r="AE301" s="10">
        <f t="shared" si="253"/>
        <v>0</v>
      </c>
      <c r="AF301" s="10">
        <f t="shared" si="254"/>
        <v>0</v>
      </c>
      <c r="AG301" s="10">
        <f t="shared" si="255"/>
        <v>0</v>
      </c>
      <c r="AH301" s="10">
        <f t="shared" si="256"/>
        <v>0</v>
      </c>
      <c r="AI301" s="10">
        <f t="shared" si="257"/>
        <v>0</v>
      </c>
      <c r="AJ301" s="10">
        <f t="shared" si="258"/>
        <v>0</v>
      </c>
      <c r="AK301" s="10">
        <f t="shared" si="259"/>
        <v>0</v>
      </c>
      <c r="AL301" s="10">
        <f t="shared" si="260"/>
        <v>0</v>
      </c>
      <c r="AM301" s="10">
        <f t="shared" si="261"/>
        <v>0</v>
      </c>
      <c r="AN301" s="46">
        <f t="shared" si="262"/>
        <v>0</v>
      </c>
      <c r="AO301" s="10">
        <f t="shared" si="263"/>
        <v>0</v>
      </c>
      <c r="AP301" s="10">
        <f t="shared" si="264"/>
        <v>0</v>
      </c>
      <c r="AQ301" s="10">
        <f t="shared" si="265"/>
        <v>0</v>
      </c>
      <c r="AR301" s="10">
        <f t="shared" si="266"/>
        <v>0</v>
      </c>
      <c r="AS301" s="10">
        <f t="shared" si="267"/>
        <v>0</v>
      </c>
      <c r="AT301" s="10">
        <f t="shared" si="268"/>
        <v>0</v>
      </c>
      <c r="AU301" s="10">
        <f t="shared" si="269"/>
        <v>0</v>
      </c>
      <c r="AV301" s="10">
        <f t="shared" si="270"/>
        <v>0</v>
      </c>
      <c r="AW301" s="10">
        <f t="shared" si="271"/>
        <v>0</v>
      </c>
      <c r="AX301" s="10">
        <f t="shared" si="272"/>
        <v>0</v>
      </c>
    </row>
    <row r="302" spans="1:50" ht="13.5" thickTop="1" x14ac:dyDescent="0.2">
      <c r="A302" s="11"/>
      <c r="B302" s="11"/>
      <c r="C302" s="11" t="s">
        <v>30</v>
      </c>
      <c r="D302" s="11"/>
      <c r="E302" s="12"/>
      <c r="F302" s="13">
        <f t="shared" ref="F302:AX302" si="273">COUNTIF(F235:F301,"&gt;0")</f>
        <v>67</v>
      </c>
      <c r="G302" s="13">
        <f t="shared" si="273"/>
        <v>67</v>
      </c>
      <c r="H302" s="13">
        <f t="shared" si="273"/>
        <v>67</v>
      </c>
      <c r="I302" s="13">
        <f t="shared" si="273"/>
        <v>67</v>
      </c>
      <c r="J302" s="13">
        <f t="shared" si="273"/>
        <v>66</v>
      </c>
      <c r="K302" s="13">
        <f t="shared" si="273"/>
        <v>67</v>
      </c>
      <c r="L302" s="13">
        <f t="shared" si="273"/>
        <v>0</v>
      </c>
      <c r="M302" s="13">
        <f t="shared" si="273"/>
        <v>67</v>
      </c>
      <c r="N302" s="13">
        <f t="shared" si="273"/>
        <v>51</v>
      </c>
      <c r="O302" s="13">
        <f t="shared" si="273"/>
        <v>11</v>
      </c>
      <c r="P302" s="13">
        <f t="shared" si="273"/>
        <v>23</v>
      </c>
      <c r="Q302" s="13">
        <f t="shared" si="273"/>
        <v>27</v>
      </c>
      <c r="R302" s="13">
        <f t="shared" si="273"/>
        <v>0</v>
      </c>
      <c r="S302" s="13">
        <f t="shared" si="273"/>
        <v>0</v>
      </c>
      <c r="T302" s="13">
        <f t="shared" si="273"/>
        <v>0</v>
      </c>
      <c r="U302" s="13">
        <f t="shared" si="273"/>
        <v>0</v>
      </c>
      <c r="V302" s="13">
        <f t="shared" si="273"/>
        <v>0</v>
      </c>
      <c r="W302" s="13">
        <f t="shared" si="273"/>
        <v>0</v>
      </c>
      <c r="X302" s="13">
        <f t="shared" si="273"/>
        <v>0</v>
      </c>
      <c r="Y302" s="13">
        <f t="shared" si="273"/>
        <v>0</v>
      </c>
      <c r="Z302" s="13">
        <f t="shared" si="273"/>
        <v>0</v>
      </c>
      <c r="AA302" s="13">
        <f t="shared" si="273"/>
        <v>0</v>
      </c>
      <c r="AB302" s="13">
        <f t="shared" si="273"/>
        <v>0</v>
      </c>
      <c r="AC302" s="13">
        <f t="shared" si="273"/>
        <v>0</v>
      </c>
      <c r="AD302" s="13">
        <f t="shared" si="273"/>
        <v>0</v>
      </c>
      <c r="AE302" s="13">
        <f t="shared" si="273"/>
        <v>0</v>
      </c>
      <c r="AF302" s="13">
        <f t="shared" si="273"/>
        <v>0</v>
      </c>
      <c r="AG302" s="13">
        <f t="shared" si="273"/>
        <v>0</v>
      </c>
      <c r="AH302" s="13">
        <f t="shared" si="273"/>
        <v>0</v>
      </c>
      <c r="AI302" s="13">
        <f t="shared" si="273"/>
        <v>0</v>
      </c>
      <c r="AJ302" s="13">
        <f t="shared" si="273"/>
        <v>0</v>
      </c>
      <c r="AK302" s="13">
        <f t="shared" si="273"/>
        <v>0</v>
      </c>
      <c r="AL302" s="13">
        <f t="shared" si="273"/>
        <v>0</v>
      </c>
      <c r="AM302" s="44">
        <f t="shared" si="273"/>
        <v>0</v>
      </c>
      <c r="AN302" s="13">
        <f t="shared" si="273"/>
        <v>0</v>
      </c>
      <c r="AO302" s="13">
        <f t="shared" si="273"/>
        <v>0</v>
      </c>
      <c r="AP302" s="13">
        <f t="shared" si="273"/>
        <v>0</v>
      </c>
      <c r="AQ302" s="13">
        <f t="shared" si="273"/>
        <v>0</v>
      </c>
      <c r="AR302" s="13">
        <f t="shared" si="273"/>
        <v>0</v>
      </c>
      <c r="AS302" s="13">
        <f t="shared" si="273"/>
        <v>0</v>
      </c>
      <c r="AT302" s="13">
        <f t="shared" si="273"/>
        <v>0</v>
      </c>
      <c r="AU302" s="13">
        <f t="shared" si="273"/>
        <v>0</v>
      </c>
      <c r="AV302" s="13">
        <f t="shared" si="273"/>
        <v>0</v>
      </c>
      <c r="AW302" s="13">
        <f t="shared" si="273"/>
        <v>0</v>
      </c>
      <c r="AX302" s="13">
        <f t="shared" si="273"/>
        <v>0</v>
      </c>
    </row>
    <row r="303" spans="1:50" x14ac:dyDescent="0.2">
      <c r="A303" s="8"/>
      <c r="B303" s="14" t="s">
        <v>45</v>
      </c>
      <c r="C303" s="8" t="s">
        <v>31</v>
      </c>
      <c r="D303" s="8"/>
      <c r="E303" s="80"/>
      <c r="F303" s="15">
        <f t="shared" ref="F303:AX303" si="274">SUM(F235:F301)</f>
        <v>1032550</v>
      </c>
      <c r="G303" s="15">
        <f t="shared" si="274"/>
        <v>523179</v>
      </c>
      <c r="H303" s="110">
        <f>F303/G303</f>
        <v>1.9736075033592708</v>
      </c>
      <c r="I303" s="15">
        <f t="shared" si="274"/>
        <v>622338.20000000007</v>
      </c>
      <c r="J303" s="15">
        <f t="shared" si="274"/>
        <v>618.5</v>
      </c>
      <c r="K303" s="15">
        <f t="shared" si="274"/>
        <v>25997.05</v>
      </c>
      <c r="L303" s="15">
        <f t="shared" si="274"/>
        <v>0</v>
      </c>
      <c r="M303" s="15">
        <f t="shared" si="274"/>
        <v>400906</v>
      </c>
      <c r="N303" s="15">
        <f t="shared" si="274"/>
        <v>350793</v>
      </c>
      <c r="O303" s="15">
        <f t="shared" si="274"/>
        <v>73018</v>
      </c>
      <c r="P303" s="15">
        <f t="shared" si="274"/>
        <v>183372</v>
      </c>
      <c r="Q303" s="15">
        <f t="shared" si="274"/>
        <v>248996</v>
      </c>
      <c r="R303" s="15">
        <f t="shared" si="274"/>
        <v>0</v>
      </c>
      <c r="S303" s="15">
        <f t="shared" si="274"/>
        <v>0</v>
      </c>
      <c r="T303" s="15">
        <f t="shared" si="274"/>
        <v>0</v>
      </c>
      <c r="U303" s="15">
        <f t="shared" si="274"/>
        <v>0</v>
      </c>
      <c r="V303" s="15">
        <f t="shared" si="274"/>
        <v>0</v>
      </c>
      <c r="W303" s="15">
        <f t="shared" si="274"/>
        <v>0</v>
      </c>
      <c r="X303" s="15">
        <f t="shared" si="274"/>
        <v>0</v>
      </c>
      <c r="Y303" s="15">
        <f t="shared" si="274"/>
        <v>0</v>
      </c>
      <c r="Z303" s="15">
        <f t="shared" si="274"/>
        <v>0</v>
      </c>
      <c r="AA303" s="15">
        <f t="shared" si="274"/>
        <v>0</v>
      </c>
      <c r="AB303" s="15">
        <f t="shared" si="274"/>
        <v>0</v>
      </c>
      <c r="AC303" s="15">
        <f t="shared" si="274"/>
        <v>0</v>
      </c>
      <c r="AD303" s="15">
        <f t="shared" si="274"/>
        <v>0</v>
      </c>
      <c r="AE303" s="15">
        <f t="shared" si="274"/>
        <v>0</v>
      </c>
      <c r="AF303" s="15">
        <f t="shared" si="274"/>
        <v>0</v>
      </c>
      <c r="AG303" s="15">
        <f t="shared" si="274"/>
        <v>0</v>
      </c>
      <c r="AH303" s="15">
        <f t="shared" si="274"/>
        <v>0</v>
      </c>
      <c r="AI303" s="15">
        <f t="shared" si="274"/>
        <v>0</v>
      </c>
      <c r="AJ303" s="15">
        <f t="shared" si="274"/>
        <v>0</v>
      </c>
      <c r="AK303" s="15">
        <f t="shared" si="274"/>
        <v>0</v>
      </c>
      <c r="AL303" s="15">
        <f t="shared" si="274"/>
        <v>0</v>
      </c>
      <c r="AM303" s="45">
        <f t="shared" si="274"/>
        <v>0</v>
      </c>
      <c r="AN303" s="15">
        <f t="shared" si="274"/>
        <v>0</v>
      </c>
      <c r="AO303" s="15">
        <f t="shared" si="274"/>
        <v>0</v>
      </c>
      <c r="AP303" s="15">
        <f t="shared" si="274"/>
        <v>0</v>
      </c>
      <c r="AQ303" s="15">
        <f t="shared" si="274"/>
        <v>0</v>
      </c>
      <c r="AR303" s="15">
        <f t="shared" si="274"/>
        <v>0</v>
      </c>
      <c r="AS303" s="15">
        <f t="shared" si="274"/>
        <v>0</v>
      </c>
      <c r="AT303" s="15">
        <f t="shared" si="274"/>
        <v>0</v>
      </c>
      <c r="AU303" s="15">
        <f t="shared" si="274"/>
        <v>0</v>
      </c>
      <c r="AV303" s="15">
        <f t="shared" si="274"/>
        <v>0</v>
      </c>
      <c r="AW303" s="15">
        <f t="shared" si="274"/>
        <v>0</v>
      </c>
      <c r="AX303" s="15">
        <f t="shared" si="274"/>
        <v>0</v>
      </c>
    </row>
    <row r="304" spans="1:50" x14ac:dyDescent="0.2">
      <c r="A304" s="8"/>
      <c r="B304" s="14"/>
      <c r="C304" s="8" t="s">
        <v>32</v>
      </c>
      <c r="D304" s="8"/>
      <c r="E304" s="80"/>
      <c r="F304" s="10">
        <f t="shared" ref="F304:AX304" si="275">MIN(F235:F301)</f>
        <v>1553</v>
      </c>
      <c r="G304" s="10">
        <f t="shared" si="275"/>
        <v>725</v>
      </c>
      <c r="H304" s="10">
        <f t="shared" si="275"/>
        <v>0.93650793650793651</v>
      </c>
      <c r="I304" s="10">
        <f t="shared" si="275"/>
        <v>170.1</v>
      </c>
      <c r="J304" s="10">
        <f t="shared" si="275"/>
        <v>0</v>
      </c>
      <c r="K304" s="10">
        <f t="shared" si="275"/>
        <v>51</v>
      </c>
      <c r="L304" s="10">
        <f t="shared" si="275"/>
        <v>0</v>
      </c>
      <c r="M304" s="10">
        <f t="shared" si="275"/>
        <v>608</v>
      </c>
      <c r="N304" s="10">
        <f t="shared" si="275"/>
        <v>0</v>
      </c>
      <c r="O304" s="10">
        <f t="shared" si="275"/>
        <v>0</v>
      </c>
      <c r="P304" s="10">
        <f t="shared" si="275"/>
        <v>0</v>
      </c>
      <c r="Q304" s="10">
        <f t="shared" si="275"/>
        <v>0</v>
      </c>
      <c r="R304" s="10">
        <f t="shared" si="275"/>
        <v>0</v>
      </c>
      <c r="S304" s="10">
        <f t="shared" si="275"/>
        <v>0</v>
      </c>
      <c r="T304" s="10">
        <f t="shared" si="275"/>
        <v>0</v>
      </c>
      <c r="U304" s="10">
        <f t="shared" si="275"/>
        <v>0</v>
      </c>
      <c r="V304" s="10">
        <f t="shared" si="275"/>
        <v>0</v>
      </c>
      <c r="W304" s="10">
        <f t="shared" si="275"/>
        <v>0</v>
      </c>
      <c r="X304" s="10">
        <f t="shared" si="275"/>
        <v>0</v>
      </c>
      <c r="Y304" s="10">
        <f t="shared" si="275"/>
        <v>0</v>
      </c>
      <c r="Z304" s="10">
        <f t="shared" si="275"/>
        <v>0</v>
      </c>
      <c r="AA304" s="10">
        <f t="shared" si="275"/>
        <v>0</v>
      </c>
      <c r="AB304" s="10">
        <f t="shared" si="275"/>
        <v>0</v>
      </c>
      <c r="AC304" s="10">
        <f t="shared" si="275"/>
        <v>0</v>
      </c>
      <c r="AD304" s="10">
        <f t="shared" si="275"/>
        <v>0</v>
      </c>
      <c r="AE304" s="10">
        <f t="shared" si="275"/>
        <v>0</v>
      </c>
      <c r="AF304" s="10">
        <f t="shared" si="275"/>
        <v>0</v>
      </c>
      <c r="AG304" s="10">
        <f t="shared" si="275"/>
        <v>0</v>
      </c>
      <c r="AH304" s="10">
        <f t="shared" si="275"/>
        <v>0</v>
      </c>
      <c r="AI304" s="10">
        <f t="shared" si="275"/>
        <v>0</v>
      </c>
      <c r="AJ304" s="10">
        <f t="shared" si="275"/>
        <v>0</v>
      </c>
      <c r="AK304" s="10">
        <f t="shared" si="275"/>
        <v>0</v>
      </c>
      <c r="AL304" s="10">
        <f t="shared" si="275"/>
        <v>0</v>
      </c>
      <c r="AM304" s="46">
        <f t="shared" si="275"/>
        <v>0</v>
      </c>
      <c r="AN304" s="10">
        <f t="shared" si="275"/>
        <v>0</v>
      </c>
      <c r="AO304" s="10">
        <f t="shared" si="275"/>
        <v>0</v>
      </c>
      <c r="AP304" s="10">
        <f t="shared" si="275"/>
        <v>0</v>
      </c>
      <c r="AQ304" s="10">
        <f t="shared" si="275"/>
        <v>0</v>
      </c>
      <c r="AR304" s="10">
        <f t="shared" si="275"/>
        <v>0</v>
      </c>
      <c r="AS304" s="10">
        <f t="shared" si="275"/>
        <v>0</v>
      </c>
      <c r="AT304" s="10">
        <f t="shared" si="275"/>
        <v>0</v>
      </c>
      <c r="AU304" s="10">
        <f t="shared" si="275"/>
        <v>0</v>
      </c>
      <c r="AV304" s="10">
        <f t="shared" si="275"/>
        <v>0</v>
      </c>
      <c r="AW304" s="10">
        <f t="shared" si="275"/>
        <v>0</v>
      </c>
      <c r="AX304" s="10">
        <f t="shared" si="275"/>
        <v>0</v>
      </c>
    </row>
    <row r="305" spans="1:50" x14ac:dyDescent="0.2">
      <c r="A305" s="8"/>
      <c r="B305" s="14"/>
      <c r="C305" s="8" t="s">
        <v>33</v>
      </c>
      <c r="D305" s="8"/>
      <c r="E305" s="80"/>
      <c r="F305" s="10">
        <f t="shared" ref="F305:AX305" si="276">MAX(F235:F301)</f>
        <v>65770</v>
      </c>
      <c r="G305" s="10">
        <f t="shared" si="276"/>
        <v>28082</v>
      </c>
      <c r="H305" s="10">
        <f t="shared" si="276"/>
        <v>2.7822530174340634</v>
      </c>
      <c r="I305" s="10">
        <f t="shared" si="276"/>
        <v>53492.2</v>
      </c>
      <c r="J305" s="10">
        <f t="shared" si="276"/>
        <v>180</v>
      </c>
      <c r="K305" s="10">
        <f t="shared" si="276"/>
        <v>669</v>
      </c>
      <c r="L305" s="10">
        <f t="shared" si="276"/>
        <v>0</v>
      </c>
      <c r="M305" s="10">
        <f t="shared" si="276"/>
        <v>28082</v>
      </c>
      <c r="N305" s="10">
        <f t="shared" si="276"/>
        <v>25631</v>
      </c>
      <c r="O305" s="10">
        <f t="shared" si="276"/>
        <v>21428</v>
      </c>
      <c r="P305" s="10">
        <f t="shared" si="276"/>
        <v>25631</v>
      </c>
      <c r="Q305" s="10">
        <f t="shared" si="276"/>
        <v>28082</v>
      </c>
      <c r="R305" s="10">
        <f t="shared" si="276"/>
        <v>0</v>
      </c>
      <c r="S305" s="10">
        <f t="shared" si="276"/>
        <v>0</v>
      </c>
      <c r="T305" s="10">
        <f t="shared" si="276"/>
        <v>0</v>
      </c>
      <c r="U305" s="10">
        <f t="shared" si="276"/>
        <v>0</v>
      </c>
      <c r="V305" s="10">
        <f t="shared" si="276"/>
        <v>0</v>
      </c>
      <c r="W305" s="10">
        <f t="shared" si="276"/>
        <v>0</v>
      </c>
      <c r="X305" s="10">
        <f t="shared" si="276"/>
        <v>0</v>
      </c>
      <c r="Y305" s="10">
        <f t="shared" si="276"/>
        <v>0</v>
      </c>
      <c r="Z305" s="10">
        <f t="shared" si="276"/>
        <v>0</v>
      </c>
      <c r="AA305" s="10">
        <f t="shared" si="276"/>
        <v>0</v>
      </c>
      <c r="AB305" s="10">
        <f t="shared" si="276"/>
        <v>0</v>
      </c>
      <c r="AC305" s="10">
        <f t="shared" si="276"/>
        <v>0</v>
      </c>
      <c r="AD305" s="10">
        <f t="shared" si="276"/>
        <v>0</v>
      </c>
      <c r="AE305" s="10">
        <f t="shared" si="276"/>
        <v>0</v>
      </c>
      <c r="AF305" s="10">
        <f t="shared" si="276"/>
        <v>0</v>
      </c>
      <c r="AG305" s="10">
        <f t="shared" si="276"/>
        <v>0</v>
      </c>
      <c r="AH305" s="10">
        <f t="shared" si="276"/>
        <v>0</v>
      </c>
      <c r="AI305" s="10">
        <f t="shared" si="276"/>
        <v>0</v>
      </c>
      <c r="AJ305" s="10">
        <f t="shared" si="276"/>
        <v>0</v>
      </c>
      <c r="AK305" s="10">
        <f t="shared" si="276"/>
        <v>0</v>
      </c>
      <c r="AL305" s="10">
        <f t="shared" si="276"/>
        <v>0</v>
      </c>
      <c r="AM305" s="46">
        <f t="shared" si="276"/>
        <v>0</v>
      </c>
      <c r="AN305" s="10">
        <f t="shared" si="276"/>
        <v>0</v>
      </c>
      <c r="AO305" s="10">
        <f t="shared" si="276"/>
        <v>0</v>
      </c>
      <c r="AP305" s="10">
        <f t="shared" si="276"/>
        <v>0</v>
      </c>
      <c r="AQ305" s="10">
        <f t="shared" si="276"/>
        <v>0</v>
      </c>
      <c r="AR305" s="10">
        <f t="shared" si="276"/>
        <v>0</v>
      </c>
      <c r="AS305" s="10">
        <f t="shared" si="276"/>
        <v>0</v>
      </c>
      <c r="AT305" s="10">
        <f t="shared" si="276"/>
        <v>0</v>
      </c>
      <c r="AU305" s="10">
        <f t="shared" si="276"/>
        <v>0</v>
      </c>
      <c r="AV305" s="10">
        <f t="shared" si="276"/>
        <v>0</v>
      </c>
      <c r="AW305" s="10">
        <f t="shared" si="276"/>
        <v>0</v>
      </c>
      <c r="AX305" s="10">
        <f t="shared" si="276"/>
        <v>0</v>
      </c>
    </row>
    <row r="306" spans="1:50" x14ac:dyDescent="0.2">
      <c r="A306" s="8"/>
      <c r="B306" s="14"/>
      <c r="C306" s="8" t="s">
        <v>34</v>
      </c>
      <c r="D306" s="8"/>
      <c r="E306" s="80"/>
      <c r="F306" s="10">
        <f t="shared" ref="F306:AX306" si="277">AVERAGE(F235:F301)</f>
        <v>15411.194029850747</v>
      </c>
      <c r="G306" s="10">
        <f t="shared" si="277"/>
        <v>7808.6417910447763</v>
      </c>
      <c r="H306" s="10">
        <f t="shared" si="277"/>
        <v>1.8454951465999685</v>
      </c>
      <c r="I306" s="10">
        <f t="shared" si="277"/>
        <v>9288.6298507462689</v>
      </c>
      <c r="J306" s="10">
        <f t="shared" si="277"/>
        <v>9.2313432835820901</v>
      </c>
      <c r="K306" s="10">
        <f t="shared" si="277"/>
        <v>388.01567164179102</v>
      </c>
      <c r="L306" s="10" t="e">
        <f t="shared" si="277"/>
        <v>#DIV/0!</v>
      </c>
      <c r="M306" s="10">
        <f t="shared" si="277"/>
        <v>5983.6716417910447</v>
      </c>
      <c r="N306" s="10">
        <f t="shared" si="277"/>
        <v>5235.7164179104475</v>
      </c>
      <c r="O306" s="10">
        <f t="shared" si="277"/>
        <v>1089.8208955223881</v>
      </c>
      <c r="P306" s="10">
        <f t="shared" si="277"/>
        <v>2736.8955223880598</v>
      </c>
      <c r="Q306" s="10">
        <f t="shared" si="277"/>
        <v>3716.3582089552237</v>
      </c>
      <c r="R306" s="10" t="e">
        <f t="shared" si="277"/>
        <v>#DIV/0!</v>
      </c>
      <c r="S306" s="10">
        <f t="shared" si="277"/>
        <v>0</v>
      </c>
      <c r="T306" s="10">
        <f t="shared" si="277"/>
        <v>0</v>
      </c>
      <c r="U306" s="10">
        <f t="shared" si="277"/>
        <v>0</v>
      </c>
      <c r="V306" s="10">
        <f t="shared" si="277"/>
        <v>0</v>
      </c>
      <c r="W306" s="10">
        <f t="shared" si="277"/>
        <v>0</v>
      </c>
      <c r="X306" s="10">
        <f t="shared" si="277"/>
        <v>0</v>
      </c>
      <c r="Y306" s="10">
        <f t="shared" si="277"/>
        <v>0</v>
      </c>
      <c r="Z306" s="10">
        <f t="shared" si="277"/>
        <v>0</v>
      </c>
      <c r="AA306" s="10">
        <f t="shared" si="277"/>
        <v>0</v>
      </c>
      <c r="AB306" s="10">
        <f t="shared" si="277"/>
        <v>0</v>
      </c>
      <c r="AC306" s="10">
        <f t="shared" si="277"/>
        <v>0</v>
      </c>
      <c r="AD306" s="10">
        <f t="shared" si="277"/>
        <v>0</v>
      </c>
      <c r="AE306" s="10">
        <f t="shared" si="277"/>
        <v>0</v>
      </c>
      <c r="AF306" s="10">
        <f t="shared" si="277"/>
        <v>0</v>
      </c>
      <c r="AG306" s="10">
        <f t="shared" si="277"/>
        <v>0</v>
      </c>
      <c r="AH306" s="10">
        <f t="shared" si="277"/>
        <v>0</v>
      </c>
      <c r="AI306" s="10">
        <f t="shared" si="277"/>
        <v>0</v>
      </c>
      <c r="AJ306" s="10">
        <f t="shared" si="277"/>
        <v>0</v>
      </c>
      <c r="AK306" s="10">
        <f t="shared" si="277"/>
        <v>0</v>
      </c>
      <c r="AL306" s="10">
        <f t="shared" si="277"/>
        <v>0</v>
      </c>
      <c r="AM306" s="46">
        <f t="shared" si="277"/>
        <v>0</v>
      </c>
      <c r="AN306" s="10">
        <f t="shared" si="277"/>
        <v>0</v>
      </c>
      <c r="AO306" s="10">
        <f t="shared" si="277"/>
        <v>0</v>
      </c>
      <c r="AP306" s="10">
        <f t="shared" si="277"/>
        <v>0</v>
      </c>
      <c r="AQ306" s="10">
        <f t="shared" si="277"/>
        <v>0</v>
      </c>
      <c r="AR306" s="10">
        <f t="shared" si="277"/>
        <v>0</v>
      </c>
      <c r="AS306" s="10">
        <f t="shared" si="277"/>
        <v>0</v>
      </c>
      <c r="AT306" s="10">
        <f t="shared" si="277"/>
        <v>0</v>
      </c>
      <c r="AU306" s="10">
        <f t="shared" si="277"/>
        <v>0</v>
      </c>
      <c r="AV306" s="10">
        <f t="shared" si="277"/>
        <v>0</v>
      </c>
      <c r="AW306" s="10">
        <f t="shared" si="277"/>
        <v>0</v>
      </c>
      <c r="AX306" s="10">
        <f t="shared" si="277"/>
        <v>0</v>
      </c>
    </row>
    <row r="307" spans="1:50" ht="13.5" thickBot="1" x14ac:dyDescent="0.25">
      <c r="A307" s="16"/>
      <c r="B307" s="17"/>
      <c r="C307" s="16" t="s">
        <v>35</v>
      </c>
      <c r="D307" s="16"/>
      <c r="E307" s="80"/>
      <c r="F307" s="18">
        <f t="shared" ref="F307:AX307" si="278">MEDIAN(F235:F301)</f>
        <v>9083</v>
      </c>
      <c r="G307" s="18">
        <f t="shared" si="278"/>
        <v>5003</v>
      </c>
      <c r="H307" s="18">
        <f t="shared" si="278"/>
        <v>1.8066956381780139</v>
      </c>
      <c r="I307" s="18">
        <f t="shared" si="278"/>
        <v>6022.3</v>
      </c>
      <c r="J307" s="18">
        <f t="shared" si="278"/>
        <v>1.6</v>
      </c>
      <c r="K307" s="18">
        <f t="shared" si="278"/>
        <v>374</v>
      </c>
      <c r="L307" s="18" t="e">
        <f t="shared" si="278"/>
        <v>#NUM!</v>
      </c>
      <c r="M307" s="18">
        <f t="shared" si="278"/>
        <v>3691</v>
      </c>
      <c r="N307" s="18">
        <f t="shared" si="278"/>
        <v>2699</v>
      </c>
      <c r="O307" s="18">
        <f t="shared" si="278"/>
        <v>0</v>
      </c>
      <c r="P307" s="18">
        <f t="shared" si="278"/>
        <v>0</v>
      </c>
      <c r="Q307" s="18">
        <f t="shared" si="278"/>
        <v>0</v>
      </c>
      <c r="R307" s="18" t="e">
        <f t="shared" si="278"/>
        <v>#NUM!</v>
      </c>
      <c r="S307" s="18">
        <f t="shared" si="278"/>
        <v>0</v>
      </c>
      <c r="T307" s="18">
        <f t="shared" si="278"/>
        <v>0</v>
      </c>
      <c r="U307" s="18">
        <f t="shared" si="278"/>
        <v>0</v>
      </c>
      <c r="V307" s="18">
        <f t="shared" si="278"/>
        <v>0</v>
      </c>
      <c r="W307" s="18">
        <f t="shared" si="278"/>
        <v>0</v>
      </c>
      <c r="X307" s="18">
        <f t="shared" si="278"/>
        <v>0</v>
      </c>
      <c r="Y307" s="18">
        <f t="shared" si="278"/>
        <v>0</v>
      </c>
      <c r="Z307" s="18">
        <f t="shared" si="278"/>
        <v>0</v>
      </c>
      <c r="AA307" s="18">
        <f t="shared" si="278"/>
        <v>0</v>
      </c>
      <c r="AB307" s="18">
        <f t="shared" si="278"/>
        <v>0</v>
      </c>
      <c r="AC307" s="18">
        <f t="shared" si="278"/>
        <v>0</v>
      </c>
      <c r="AD307" s="18">
        <f t="shared" si="278"/>
        <v>0</v>
      </c>
      <c r="AE307" s="18">
        <f t="shared" si="278"/>
        <v>0</v>
      </c>
      <c r="AF307" s="18">
        <f t="shared" si="278"/>
        <v>0</v>
      </c>
      <c r="AG307" s="18">
        <f t="shared" si="278"/>
        <v>0</v>
      </c>
      <c r="AH307" s="18">
        <f t="shared" si="278"/>
        <v>0</v>
      </c>
      <c r="AI307" s="18">
        <f t="shared" si="278"/>
        <v>0</v>
      </c>
      <c r="AJ307" s="18">
        <f t="shared" si="278"/>
        <v>0</v>
      </c>
      <c r="AK307" s="18">
        <f t="shared" si="278"/>
        <v>0</v>
      </c>
      <c r="AL307" s="18">
        <f t="shared" si="278"/>
        <v>0</v>
      </c>
      <c r="AM307" s="47">
        <f t="shared" si="278"/>
        <v>0</v>
      </c>
      <c r="AN307" s="18">
        <f t="shared" si="278"/>
        <v>0</v>
      </c>
      <c r="AO307" s="18">
        <f t="shared" si="278"/>
        <v>0</v>
      </c>
      <c r="AP307" s="18">
        <f t="shared" si="278"/>
        <v>0</v>
      </c>
      <c r="AQ307" s="18">
        <f t="shared" si="278"/>
        <v>0</v>
      </c>
      <c r="AR307" s="18">
        <f t="shared" si="278"/>
        <v>0</v>
      </c>
      <c r="AS307" s="18">
        <f t="shared" si="278"/>
        <v>0</v>
      </c>
      <c r="AT307" s="18">
        <f t="shared" si="278"/>
        <v>0</v>
      </c>
      <c r="AU307" s="18">
        <f t="shared" si="278"/>
        <v>0</v>
      </c>
      <c r="AV307" s="18">
        <f t="shared" si="278"/>
        <v>0</v>
      </c>
      <c r="AW307" s="18">
        <f t="shared" si="278"/>
        <v>0</v>
      </c>
      <c r="AX307" s="18">
        <f t="shared" si="278"/>
        <v>0</v>
      </c>
    </row>
    <row r="308" spans="1:50" ht="13.5" thickTop="1" x14ac:dyDescent="0.2">
      <c r="B308" s="48" t="s">
        <v>27</v>
      </c>
      <c r="D308" s="5"/>
      <c r="F308"/>
      <c r="G308"/>
      <c r="H308"/>
      <c r="I308"/>
      <c r="J308"/>
      <c r="K308"/>
    </row>
    <row r="309" spans="1:50" x14ac:dyDescent="0.2">
      <c r="B309" s="48"/>
    </row>
    <row r="310" spans="1:50" ht="15.75" x14ac:dyDescent="0.25">
      <c r="A310" s="86" t="s">
        <v>28</v>
      </c>
      <c r="B310" s="90"/>
      <c r="C310" s="87"/>
      <c r="D310" s="52"/>
      <c r="E310" s="88"/>
      <c r="F310" s="52"/>
      <c r="G310" s="52"/>
      <c r="H310" s="52"/>
      <c r="I310" s="52"/>
      <c r="J310" s="52"/>
      <c r="K310" s="52"/>
    </row>
    <row r="311" spans="1:50" x14ac:dyDescent="0.2">
      <c r="A311" s="8">
        <v>10050</v>
      </c>
      <c r="B311" s="89" t="str">
        <f t="shared" ref="B311:B374" si="279">VLOOKUP($A311,$A$5:$K$132,2,FALSE)</f>
        <v>Albury</v>
      </c>
      <c r="C311" s="9" t="str">
        <f t="shared" ref="C311:C374" si="280">VLOOKUP($A311,$A$5:$K$133,3,FALSE)</f>
        <v>RAMJO Murray</v>
      </c>
      <c r="D311" s="51" t="str">
        <f t="shared" ref="D311:D374" si="281">VLOOKUP($A311,$A$5:$K$133,4,FALSE)</f>
        <v>N</v>
      </c>
      <c r="E311" s="10" t="str">
        <f t="shared" ref="E311:E374" si="282">VLOOKUP($A311,$A$5:$AX$132,5,FALSE)</f>
        <v>RMJO</v>
      </c>
      <c r="F311" s="10">
        <f t="shared" ref="F311:F374" si="283">VLOOKUP($A311,$A$5:$AX$132,6,FALSE)</f>
        <v>55055</v>
      </c>
      <c r="G311" s="10">
        <f t="shared" ref="G311:G374" si="284">VLOOKUP($A311,$A$5:$AX$132,7,FALSE)</f>
        <v>25318</v>
      </c>
      <c r="H311" s="10">
        <f t="shared" ref="H311:H374" si="285">VLOOKUP($A311,$A$5:$AX$132,8,FALSE)</f>
        <v>2.1745398530689628</v>
      </c>
      <c r="I311" s="10">
        <f t="shared" ref="I311:I374" si="286">VLOOKUP($A311,$A$5:$AX$132,9,FALSE)</f>
        <v>305.89999999999998</v>
      </c>
      <c r="J311" s="10">
        <f t="shared" ref="J311:J374" si="287">VLOOKUP($A311,$A$5:$AX$132,10,FALSE)</f>
        <v>180</v>
      </c>
      <c r="K311" s="10">
        <f t="shared" ref="K311:K374" si="288">VLOOKUP($A311,$A$5:$AX$132,11,FALSE)</f>
        <v>250</v>
      </c>
      <c r="L311" s="10" t="str">
        <f t="shared" ref="L311:L374" si="289">VLOOKUP($A311,$A$4:$AX$132,12,FALSE)</f>
        <v>Y</v>
      </c>
      <c r="M311" s="10">
        <f t="shared" ref="M311:M374" si="290">VLOOKUP($A311,$A$4:$AX$132,13,FALSE)</f>
        <v>24044</v>
      </c>
      <c r="N311" s="10">
        <f t="shared" ref="N311:N374" si="291">VLOOKUP($A311,$A$4:$AX$132,14,FALSE)</f>
        <v>25305</v>
      </c>
      <c r="O311" s="10">
        <f t="shared" ref="O311:O374" si="292">VLOOKUP($A311,$A$4:$AX$132,15,FALSE)</f>
        <v>0</v>
      </c>
      <c r="P311" s="10">
        <f t="shared" ref="P311:P374" si="293">VLOOKUP($A311,$A$4:$AX$132,16,FALSE)</f>
        <v>25318</v>
      </c>
      <c r="Q311" s="10">
        <f t="shared" ref="Q311:Q374" si="294">VLOOKUP($A311,$A$4:$AX$132,17,FALSE)</f>
        <v>0</v>
      </c>
      <c r="R311" s="10" t="str">
        <f t="shared" ref="R311:R374" si="295">VLOOKUP($A311,$A$4:$AX$132,18,FALSE)</f>
        <v>Yes</v>
      </c>
      <c r="S311" s="10" t="str">
        <f t="shared" ref="S311:S374" si="296">VLOOKUP($A311,$A$4:$AX$132,19,FALSE)</f>
        <v>Albury Waste Management Centre</v>
      </c>
      <c r="T311" s="10">
        <f t="shared" ref="T311:T374" si="297">VLOOKUP($A311,$A$4:$AX$132,20,FALSE)</f>
        <v>0</v>
      </c>
      <c r="U311" s="10">
        <f t="shared" ref="U311:U374" si="298">VLOOKUP($A311,$A$4:$AX$132,21,FALSE)</f>
        <v>0</v>
      </c>
      <c r="V311" s="10">
        <f t="shared" ref="V311:V374" si="299">VLOOKUP($A311,$A$4:$AX$132,22,FALSE)</f>
        <v>0</v>
      </c>
      <c r="W311" s="10">
        <f t="shared" ref="W311:W374" si="300">VLOOKUP($A311,$A$4:$AX$132,23,FALSE)</f>
        <v>0</v>
      </c>
      <c r="X311" s="10">
        <f t="shared" ref="X311:X374" si="301">VLOOKUP($A311,$A$4:$AX$132,24,FALSE)</f>
        <v>0</v>
      </c>
      <c r="Y311" s="10">
        <f t="shared" ref="Y311:Y374" si="302">VLOOKUP($A311,$A$4:$AX$132,25,FALSE)</f>
        <v>0</v>
      </c>
      <c r="Z311" s="10">
        <f t="shared" ref="Z311:Z374" si="303">VLOOKUP($A311,$A$4:$AX$132,26,FALSE)</f>
        <v>0</v>
      </c>
      <c r="AA311" s="10">
        <f t="shared" ref="AA311:AA374" si="304">VLOOKUP($A311,$A$4:$AX$132,27,FALSE)</f>
        <v>0</v>
      </c>
      <c r="AB311" s="10">
        <f t="shared" ref="AB311:AB374" si="305">VLOOKUP($A311,$A$4:$AX$132,28,FALSE)</f>
        <v>0</v>
      </c>
      <c r="AC311" s="10">
        <f t="shared" ref="AC311:AC374" si="306">VLOOKUP($A311,$A$4:$AX$132,29,FALSE)</f>
        <v>0</v>
      </c>
      <c r="AD311" s="10">
        <f t="shared" ref="AD311:AD374" si="307">VLOOKUP($A311,$A$4:$AX$132,30,FALSE)</f>
        <v>0</v>
      </c>
      <c r="AE311" s="10">
        <f t="shared" ref="AE311:AE374" si="308">VLOOKUP($A311,$A$4:$AX$132,31,FALSE)</f>
        <v>0</v>
      </c>
      <c r="AF311" s="10">
        <f t="shared" ref="AF311:AF374" si="309">VLOOKUP($A311,$A$4:$AX$132,32,FALSE)</f>
        <v>0</v>
      </c>
      <c r="AG311" s="10">
        <f t="shared" ref="AG311:AG374" si="310">VLOOKUP($A311,$A$4:$AX$132,33,FALSE)</f>
        <v>0</v>
      </c>
      <c r="AH311" s="10">
        <f t="shared" ref="AH311:AH374" si="311">VLOOKUP($A311,$A$4:$AX$132,34,FALSE)</f>
        <v>0</v>
      </c>
      <c r="AI311" s="10">
        <f t="shared" ref="AI311:AI374" si="312">VLOOKUP($A311,$A$4:$AX$132,35,FALSE)</f>
        <v>0</v>
      </c>
      <c r="AJ311" s="10">
        <f t="shared" ref="AJ311:AJ374" si="313">VLOOKUP($A311,$A$4:$AX$132,36,FALSE)</f>
        <v>0</v>
      </c>
      <c r="AK311" s="10">
        <f t="shared" ref="AK311:AK374" si="314">VLOOKUP($A311,$A$4:$AX$132,37,FALSE)</f>
        <v>0</v>
      </c>
      <c r="AL311" s="10">
        <f t="shared" ref="AL311:AL374" si="315">VLOOKUP($A311,$A$4:$AX$132,38,FALSE)</f>
        <v>0</v>
      </c>
      <c r="AM311" s="10">
        <f t="shared" ref="AM311:AM374" si="316">VLOOKUP($A311,$A$4:$AX$132,39,FALSE)</f>
        <v>0</v>
      </c>
      <c r="AN311" s="46">
        <f t="shared" ref="AN311:AN374" si="317">VLOOKUP($A311,$A$4:$AX$132,40,FALSE)</f>
        <v>0</v>
      </c>
      <c r="AO311" s="10">
        <f t="shared" ref="AO311:AO374" si="318">VLOOKUP($A311,$A$4:$AX$132,41,FALSE)</f>
        <v>0</v>
      </c>
      <c r="AP311" s="10">
        <f t="shared" ref="AP311:AP374" si="319">VLOOKUP($A311,$A$4:$AX$132,42,FALSE)</f>
        <v>0</v>
      </c>
      <c r="AQ311" s="10">
        <f t="shared" ref="AQ311:AQ374" si="320">VLOOKUP($A311,$A$4:$AX$132,43,FALSE)</f>
        <v>0</v>
      </c>
      <c r="AR311" s="10">
        <f t="shared" ref="AR311:AR374" si="321">VLOOKUP($A311,$A$4:$AX$132,44,FALSE)</f>
        <v>0</v>
      </c>
      <c r="AS311" s="10">
        <f t="shared" ref="AS311:AS374" si="322">VLOOKUP($A311,$A$4:$AX$132,45,FALSE)</f>
        <v>0</v>
      </c>
      <c r="AT311" s="10">
        <f t="shared" ref="AT311:AT374" si="323">VLOOKUP($A311,$A$4:$AX$132,46,FALSE)</f>
        <v>0</v>
      </c>
      <c r="AU311" s="10">
        <f t="shared" ref="AU311:AU374" si="324">VLOOKUP($A311,$A$4:$AX$132,47,FALSE)</f>
        <v>0</v>
      </c>
      <c r="AV311" s="10">
        <f t="shared" ref="AV311:AV374" si="325">VLOOKUP($A311,$A$4:$AX$132,48,FALSE)</f>
        <v>0</v>
      </c>
      <c r="AW311" s="10">
        <f t="shared" ref="AW311:AW374" si="326">VLOOKUP($A311,$A$4:$AX$132,49,FALSE)</f>
        <v>0</v>
      </c>
      <c r="AX311" s="10">
        <f t="shared" ref="AX311:AX374" si="327">VLOOKUP($A311,$A$4:$AX$132,50,FALSE)</f>
        <v>0</v>
      </c>
    </row>
    <row r="312" spans="1:50" x14ac:dyDescent="0.2">
      <c r="A312" s="8">
        <v>10130</v>
      </c>
      <c r="B312" s="89" t="str">
        <f t="shared" si="279"/>
        <v>Armidale Regional</v>
      </c>
      <c r="C312" s="9" t="str">
        <f t="shared" si="280"/>
        <v>NIRW</v>
      </c>
      <c r="D312" s="51" t="str">
        <f t="shared" si="281"/>
        <v>N</v>
      </c>
      <c r="E312" s="10" t="str">
        <f t="shared" si="282"/>
        <v>NEJO</v>
      </c>
      <c r="F312" s="10">
        <f t="shared" si="283"/>
        <v>29704</v>
      </c>
      <c r="G312" s="10">
        <f t="shared" si="284"/>
        <v>12888</v>
      </c>
      <c r="H312" s="10">
        <f t="shared" si="285"/>
        <v>2.3047796399751705</v>
      </c>
      <c r="I312" s="10">
        <f t="shared" si="286"/>
        <v>7809.4</v>
      </c>
      <c r="J312" s="10">
        <f t="shared" si="287"/>
        <v>3.8</v>
      </c>
      <c r="K312" s="10">
        <f t="shared" si="288"/>
        <v>400</v>
      </c>
      <c r="L312" s="10" t="str">
        <f t="shared" si="289"/>
        <v>Y</v>
      </c>
      <c r="M312" s="10">
        <f t="shared" si="290"/>
        <v>10736</v>
      </c>
      <c r="N312" s="10">
        <f t="shared" si="291"/>
        <v>10520</v>
      </c>
      <c r="O312" s="10">
        <f t="shared" si="292"/>
        <v>0</v>
      </c>
      <c r="P312" s="10">
        <f t="shared" si="293"/>
        <v>10680</v>
      </c>
      <c r="Q312" s="10">
        <f t="shared" si="294"/>
        <v>0</v>
      </c>
      <c r="R312" s="10" t="str">
        <f t="shared" si="295"/>
        <v>Yes</v>
      </c>
      <c r="S312" s="10" t="str">
        <f t="shared" si="296"/>
        <v>Armidale WTF, Long Swamp Road, Armidale</v>
      </c>
      <c r="T312" s="10" t="str">
        <f t="shared" si="297"/>
        <v>Guyra WTS, Everett Street, Guyra</v>
      </c>
      <c r="U312" s="10" t="str">
        <f t="shared" si="298"/>
        <v>Hillgrove WTS, Wood Street, Hillgrove</v>
      </c>
      <c r="V312" s="10" t="str">
        <f t="shared" si="299"/>
        <v>Wolloomombi WTS, Village Road, Wollomombi</v>
      </c>
      <c r="W312" s="10" t="str">
        <f t="shared" si="300"/>
        <v>Ebor WTS, 8478LI Waterfall Way</v>
      </c>
      <c r="X312" s="10" t="str">
        <f t="shared" si="301"/>
        <v>Lower Creek WTS, 8493 Kempsey Road</v>
      </c>
      <c r="Y312" s="10" t="str">
        <f t="shared" si="302"/>
        <v>Ben Lomond WTS, 1536LI Wandsworth Road</v>
      </c>
      <c r="Z312" s="10">
        <f t="shared" si="303"/>
        <v>0</v>
      </c>
      <c r="AA312" s="10">
        <f t="shared" si="304"/>
        <v>0</v>
      </c>
      <c r="AB312" s="10">
        <f t="shared" si="305"/>
        <v>0</v>
      </c>
      <c r="AC312" s="10">
        <f t="shared" si="306"/>
        <v>0</v>
      </c>
      <c r="AD312" s="10">
        <f t="shared" si="307"/>
        <v>0</v>
      </c>
      <c r="AE312" s="10">
        <f t="shared" si="308"/>
        <v>0</v>
      </c>
      <c r="AF312" s="10">
        <f t="shared" si="309"/>
        <v>0</v>
      </c>
      <c r="AG312" s="10">
        <f t="shared" si="310"/>
        <v>0</v>
      </c>
      <c r="AH312" s="10">
        <f t="shared" si="311"/>
        <v>0</v>
      </c>
      <c r="AI312" s="10">
        <f t="shared" si="312"/>
        <v>0</v>
      </c>
      <c r="AJ312" s="10">
        <f t="shared" si="313"/>
        <v>0</v>
      </c>
      <c r="AK312" s="10">
        <f t="shared" si="314"/>
        <v>0</v>
      </c>
      <c r="AL312" s="10">
        <f t="shared" si="315"/>
        <v>0</v>
      </c>
      <c r="AM312" s="10">
        <f t="shared" si="316"/>
        <v>0</v>
      </c>
      <c r="AN312" s="46">
        <f t="shared" si="317"/>
        <v>0</v>
      </c>
      <c r="AO312" s="10">
        <f t="shared" si="318"/>
        <v>0</v>
      </c>
      <c r="AP312" s="10">
        <f t="shared" si="319"/>
        <v>0</v>
      </c>
      <c r="AQ312" s="10">
        <f t="shared" si="320"/>
        <v>0</v>
      </c>
      <c r="AR312" s="10">
        <f t="shared" si="321"/>
        <v>0</v>
      </c>
      <c r="AS312" s="10">
        <f t="shared" si="322"/>
        <v>0</v>
      </c>
      <c r="AT312" s="10">
        <f t="shared" si="323"/>
        <v>0</v>
      </c>
      <c r="AU312" s="10">
        <f t="shared" si="324"/>
        <v>0</v>
      </c>
      <c r="AV312" s="10">
        <f t="shared" si="325"/>
        <v>0</v>
      </c>
      <c r="AW312" s="10">
        <f t="shared" si="326"/>
        <v>0</v>
      </c>
      <c r="AX312" s="10">
        <f t="shared" si="327"/>
        <v>0</v>
      </c>
    </row>
    <row r="313" spans="1:50" x14ac:dyDescent="0.2">
      <c r="A313" s="8">
        <v>10250</v>
      </c>
      <c r="B313" s="89" t="str">
        <f t="shared" si="279"/>
        <v>Ballina</v>
      </c>
      <c r="C313" s="9" t="str">
        <f t="shared" si="280"/>
        <v>NEWF</v>
      </c>
      <c r="D313" s="51" t="str">
        <f t="shared" si="281"/>
        <v>R</v>
      </c>
      <c r="E313" s="10" t="str">
        <f t="shared" si="282"/>
        <v>NRJO</v>
      </c>
      <c r="F313" s="10">
        <f t="shared" si="283"/>
        <v>45217</v>
      </c>
      <c r="G313" s="10">
        <f t="shared" si="284"/>
        <v>19922</v>
      </c>
      <c r="H313" s="10">
        <f t="shared" si="285"/>
        <v>2.2697018371649431</v>
      </c>
      <c r="I313" s="10">
        <f t="shared" si="286"/>
        <v>484.9</v>
      </c>
      <c r="J313" s="10">
        <f t="shared" si="287"/>
        <v>93.2</v>
      </c>
      <c r="K313" s="10">
        <f t="shared" si="288"/>
        <v>407</v>
      </c>
      <c r="L313" s="10" t="str">
        <f t="shared" si="289"/>
        <v>Y</v>
      </c>
      <c r="M313" s="10">
        <f t="shared" si="290"/>
        <v>18740</v>
      </c>
      <c r="N313" s="10">
        <f t="shared" si="291"/>
        <v>17191</v>
      </c>
      <c r="O313" s="10">
        <f t="shared" si="292"/>
        <v>0</v>
      </c>
      <c r="P313" s="10">
        <f t="shared" si="293"/>
        <v>14700</v>
      </c>
      <c r="Q313" s="10">
        <f t="shared" si="294"/>
        <v>0</v>
      </c>
      <c r="R313" s="10" t="str">
        <f t="shared" si="295"/>
        <v>Yes</v>
      </c>
      <c r="S313" s="10" t="str">
        <f t="shared" si="296"/>
        <v>Ballina Waste Management Centre, 167 Southern Cross Drive, Ballina, NSW, 2478</v>
      </c>
      <c r="T313" s="10">
        <f t="shared" si="297"/>
        <v>0</v>
      </c>
      <c r="U313" s="10">
        <f t="shared" si="298"/>
        <v>0</v>
      </c>
      <c r="V313" s="10">
        <f t="shared" si="299"/>
        <v>0</v>
      </c>
      <c r="W313" s="10">
        <f t="shared" si="300"/>
        <v>0</v>
      </c>
      <c r="X313" s="10">
        <f t="shared" si="301"/>
        <v>0</v>
      </c>
      <c r="Y313" s="10">
        <f t="shared" si="302"/>
        <v>0</v>
      </c>
      <c r="Z313" s="10">
        <f t="shared" si="303"/>
        <v>0</v>
      </c>
      <c r="AA313" s="10">
        <f t="shared" si="304"/>
        <v>0</v>
      </c>
      <c r="AB313" s="10">
        <f t="shared" si="305"/>
        <v>0</v>
      </c>
      <c r="AC313" s="10">
        <f t="shared" si="306"/>
        <v>0</v>
      </c>
      <c r="AD313" s="10">
        <f t="shared" si="307"/>
        <v>0</v>
      </c>
      <c r="AE313" s="10">
        <f t="shared" si="308"/>
        <v>0</v>
      </c>
      <c r="AF313" s="10">
        <f t="shared" si="309"/>
        <v>0</v>
      </c>
      <c r="AG313" s="10">
        <f t="shared" si="310"/>
        <v>0</v>
      </c>
      <c r="AH313" s="10">
        <f t="shared" si="311"/>
        <v>0</v>
      </c>
      <c r="AI313" s="10">
        <f t="shared" si="312"/>
        <v>0</v>
      </c>
      <c r="AJ313" s="10">
        <f t="shared" si="313"/>
        <v>0</v>
      </c>
      <c r="AK313" s="10">
        <f t="shared" si="314"/>
        <v>0</v>
      </c>
      <c r="AL313" s="10">
        <f t="shared" si="315"/>
        <v>0</v>
      </c>
      <c r="AM313" s="10">
        <f t="shared" si="316"/>
        <v>0</v>
      </c>
      <c r="AN313" s="46">
        <f t="shared" si="317"/>
        <v>0</v>
      </c>
      <c r="AO313" s="10">
        <f t="shared" si="318"/>
        <v>0</v>
      </c>
      <c r="AP313" s="10">
        <f t="shared" si="319"/>
        <v>0</v>
      </c>
      <c r="AQ313" s="10">
        <f t="shared" si="320"/>
        <v>0</v>
      </c>
      <c r="AR313" s="10">
        <f t="shared" si="321"/>
        <v>0</v>
      </c>
      <c r="AS313" s="10">
        <f t="shared" si="322"/>
        <v>0</v>
      </c>
      <c r="AT313" s="10">
        <f t="shared" si="323"/>
        <v>0</v>
      </c>
      <c r="AU313" s="10">
        <f t="shared" si="324"/>
        <v>0</v>
      </c>
      <c r="AV313" s="10">
        <f t="shared" si="325"/>
        <v>0</v>
      </c>
      <c r="AW313" s="10">
        <f t="shared" si="326"/>
        <v>0</v>
      </c>
      <c r="AX313" s="10">
        <f t="shared" si="327"/>
        <v>0</v>
      </c>
    </row>
    <row r="314" spans="1:50" x14ac:dyDescent="0.2">
      <c r="A314" s="8">
        <v>10300</v>
      </c>
      <c r="B314" s="89" t="str">
        <f t="shared" si="279"/>
        <v>Balranald</v>
      </c>
      <c r="C314" s="9" t="str">
        <f t="shared" si="280"/>
        <v>RAMJO Murray</v>
      </c>
      <c r="D314" s="51" t="str">
        <f t="shared" si="281"/>
        <v>N</v>
      </c>
      <c r="E314" s="10" t="str">
        <f t="shared" si="282"/>
        <v>FSWJO</v>
      </c>
      <c r="F314" s="10">
        <f t="shared" si="283"/>
        <v>2306</v>
      </c>
      <c r="G314" s="10">
        <f t="shared" si="284"/>
        <v>1624</v>
      </c>
      <c r="H314" s="10">
        <f t="shared" si="285"/>
        <v>1.4199507389162562</v>
      </c>
      <c r="I314" s="10">
        <f t="shared" si="286"/>
        <v>21690.7</v>
      </c>
      <c r="J314" s="10">
        <f t="shared" si="287"/>
        <v>0.1</v>
      </c>
      <c r="K314" s="10">
        <f t="shared" si="288"/>
        <v>355</v>
      </c>
      <c r="L314" s="10" t="str">
        <f t="shared" si="289"/>
        <v>Y</v>
      </c>
      <c r="M314" s="10">
        <f t="shared" si="290"/>
        <v>721</v>
      </c>
      <c r="N314" s="10">
        <f t="shared" si="291"/>
        <v>0</v>
      </c>
      <c r="O314" s="10">
        <f t="shared" si="292"/>
        <v>0</v>
      </c>
      <c r="P314" s="10">
        <f t="shared" si="293"/>
        <v>0</v>
      </c>
      <c r="Q314" s="10">
        <f t="shared" si="294"/>
        <v>1624</v>
      </c>
      <c r="R314" s="10" t="str">
        <f t="shared" si="295"/>
        <v>No</v>
      </c>
      <c r="S314" s="10">
        <f t="shared" si="296"/>
        <v>0</v>
      </c>
      <c r="T314" s="10">
        <f t="shared" si="297"/>
        <v>0</v>
      </c>
      <c r="U314" s="10">
        <f t="shared" si="298"/>
        <v>0</v>
      </c>
      <c r="V314" s="10">
        <f t="shared" si="299"/>
        <v>0</v>
      </c>
      <c r="W314" s="10">
        <f t="shared" si="300"/>
        <v>0</v>
      </c>
      <c r="X314" s="10">
        <f t="shared" si="301"/>
        <v>0</v>
      </c>
      <c r="Y314" s="10">
        <f t="shared" si="302"/>
        <v>0</v>
      </c>
      <c r="Z314" s="10">
        <f t="shared" si="303"/>
        <v>0</v>
      </c>
      <c r="AA314" s="10">
        <f t="shared" si="304"/>
        <v>0</v>
      </c>
      <c r="AB314" s="10">
        <f t="shared" si="305"/>
        <v>0</v>
      </c>
      <c r="AC314" s="10">
        <f t="shared" si="306"/>
        <v>0</v>
      </c>
      <c r="AD314" s="10">
        <f t="shared" si="307"/>
        <v>0</v>
      </c>
      <c r="AE314" s="10">
        <f t="shared" si="308"/>
        <v>0</v>
      </c>
      <c r="AF314" s="10">
        <f t="shared" si="309"/>
        <v>0</v>
      </c>
      <c r="AG314" s="10">
        <f t="shared" si="310"/>
        <v>0</v>
      </c>
      <c r="AH314" s="10">
        <f t="shared" si="311"/>
        <v>0</v>
      </c>
      <c r="AI314" s="10">
        <f t="shared" si="312"/>
        <v>0</v>
      </c>
      <c r="AJ314" s="10">
        <f t="shared" si="313"/>
        <v>0</v>
      </c>
      <c r="AK314" s="10">
        <f t="shared" si="314"/>
        <v>0</v>
      </c>
      <c r="AL314" s="10">
        <f t="shared" si="315"/>
        <v>0</v>
      </c>
      <c r="AM314" s="10">
        <f t="shared" si="316"/>
        <v>0</v>
      </c>
      <c r="AN314" s="46">
        <f t="shared" si="317"/>
        <v>0</v>
      </c>
      <c r="AO314" s="10">
        <f t="shared" si="318"/>
        <v>0</v>
      </c>
      <c r="AP314" s="10">
        <f t="shared" si="319"/>
        <v>0</v>
      </c>
      <c r="AQ314" s="10">
        <f t="shared" si="320"/>
        <v>0</v>
      </c>
      <c r="AR314" s="10">
        <f t="shared" si="321"/>
        <v>0</v>
      </c>
      <c r="AS314" s="10">
        <f t="shared" si="322"/>
        <v>0</v>
      </c>
      <c r="AT314" s="10">
        <f t="shared" si="323"/>
        <v>0</v>
      </c>
      <c r="AU314" s="10">
        <f t="shared" si="324"/>
        <v>0</v>
      </c>
      <c r="AV314" s="10">
        <f t="shared" si="325"/>
        <v>0</v>
      </c>
      <c r="AW314" s="10">
        <f t="shared" si="326"/>
        <v>0</v>
      </c>
      <c r="AX314" s="10">
        <f t="shared" si="327"/>
        <v>0</v>
      </c>
    </row>
    <row r="315" spans="1:50" x14ac:dyDescent="0.2">
      <c r="A315" s="8">
        <v>10470</v>
      </c>
      <c r="B315" s="89" t="str">
        <f t="shared" si="279"/>
        <v>Bathurst Regional</v>
      </c>
      <c r="C315" s="9" t="str">
        <f t="shared" si="280"/>
        <v>NetWaste</v>
      </c>
      <c r="D315" s="51" t="str">
        <f t="shared" si="281"/>
        <v>N</v>
      </c>
      <c r="E315" s="10" t="str">
        <f t="shared" si="282"/>
        <v>CNJO</v>
      </c>
      <c r="F315" s="10">
        <f t="shared" si="283"/>
        <v>43996</v>
      </c>
      <c r="G315" s="10">
        <f t="shared" si="284"/>
        <v>20082</v>
      </c>
      <c r="H315" s="10">
        <f t="shared" si="285"/>
        <v>2.190817647644657</v>
      </c>
      <c r="I315" s="10">
        <f t="shared" si="286"/>
        <v>3817.9</v>
      </c>
      <c r="J315" s="10">
        <f t="shared" si="287"/>
        <v>11.5</v>
      </c>
      <c r="K315" s="10">
        <f t="shared" si="288"/>
        <v>432</v>
      </c>
      <c r="L315" s="10" t="str">
        <f t="shared" si="289"/>
        <v>Y</v>
      </c>
      <c r="M315" s="10">
        <f t="shared" si="290"/>
        <v>15653</v>
      </c>
      <c r="N315" s="10">
        <f t="shared" si="291"/>
        <v>15608</v>
      </c>
      <c r="O315" s="10">
        <f t="shared" si="292"/>
        <v>0</v>
      </c>
      <c r="P315" s="10">
        <f t="shared" si="293"/>
        <v>14213</v>
      </c>
      <c r="Q315" s="10">
        <f t="shared" si="294"/>
        <v>0</v>
      </c>
      <c r="R315" s="10" t="str">
        <f t="shared" si="295"/>
        <v>Yes</v>
      </c>
      <c r="S315" s="10" t="str">
        <f t="shared" si="296"/>
        <v>Bathurst Landfill</v>
      </c>
      <c r="T315" s="10" t="str">
        <f t="shared" si="297"/>
        <v xml:space="preserve">Hillend Landfill </v>
      </c>
      <c r="U315" s="10" t="str">
        <f t="shared" si="298"/>
        <v>Rockly Transfer Station</v>
      </c>
      <c r="V315" s="10" t="str">
        <f t="shared" si="299"/>
        <v>Sofala Transfer Station</v>
      </c>
      <c r="W315" s="10" t="str">
        <f t="shared" si="300"/>
        <v>Sunny Corner Transfer Station</v>
      </c>
      <c r="X315" s="10" t="str">
        <f t="shared" si="301"/>
        <v xml:space="preserve">Trunkey Creek Transfer Station </v>
      </c>
      <c r="Y315" s="10">
        <f t="shared" si="302"/>
        <v>0</v>
      </c>
      <c r="Z315" s="10">
        <f t="shared" si="303"/>
        <v>0</v>
      </c>
      <c r="AA315" s="10">
        <f t="shared" si="304"/>
        <v>0</v>
      </c>
      <c r="AB315" s="10">
        <f t="shared" si="305"/>
        <v>0</v>
      </c>
      <c r="AC315" s="10">
        <f t="shared" si="306"/>
        <v>0</v>
      </c>
      <c r="AD315" s="10">
        <f t="shared" si="307"/>
        <v>0</v>
      </c>
      <c r="AE315" s="10">
        <f t="shared" si="308"/>
        <v>0</v>
      </c>
      <c r="AF315" s="10">
        <f t="shared" si="309"/>
        <v>0</v>
      </c>
      <c r="AG315" s="10">
        <f t="shared" si="310"/>
        <v>0</v>
      </c>
      <c r="AH315" s="10">
        <f t="shared" si="311"/>
        <v>0</v>
      </c>
      <c r="AI315" s="10">
        <f t="shared" si="312"/>
        <v>0</v>
      </c>
      <c r="AJ315" s="10">
        <f t="shared" si="313"/>
        <v>0</v>
      </c>
      <c r="AK315" s="10">
        <f t="shared" si="314"/>
        <v>0</v>
      </c>
      <c r="AL315" s="10">
        <f t="shared" si="315"/>
        <v>0</v>
      </c>
      <c r="AM315" s="10">
        <f t="shared" si="316"/>
        <v>0</v>
      </c>
      <c r="AN315" s="46">
        <f t="shared" si="317"/>
        <v>0</v>
      </c>
      <c r="AO315" s="10">
        <f t="shared" si="318"/>
        <v>0</v>
      </c>
      <c r="AP315" s="10">
        <f t="shared" si="319"/>
        <v>0</v>
      </c>
      <c r="AQ315" s="10">
        <f t="shared" si="320"/>
        <v>0</v>
      </c>
      <c r="AR315" s="10">
        <f t="shared" si="321"/>
        <v>0</v>
      </c>
      <c r="AS315" s="10">
        <f t="shared" si="322"/>
        <v>0</v>
      </c>
      <c r="AT315" s="10">
        <f t="shared" si="323"/>
        <v>0</v>
      </c>
      <c r="AU315" s="10">
        <f t="shared" si="324"/>
        <v>0</v>
      </c>
      <c r="AV315" s="10">
        <f t="shared" si="325"/>
        <v>0</v>
      </c>
      <c r="AW315" s="10">
        <f t="shared" si="326"/>
        <v>0</v>
      </c>
      <c r="AX315" s="10">
        <f t="shared" si="327"/>
        <v>0</v>
      </c>
    </row>
    <row r="316" spans="1:50" x14ac:dyDescent="0.2">
      <c r="A316" s="8">
        <v>10550</v>
      </c>
      <c r="B316" s="89" t="str">
        <f t="shared" si="279"/>
        <v>Bega Valley</v>
      </c>
      <c r="C316" s="9" t="str">
        <f t="shared" si="280"/>
        <v>CRJO</v>
      </c>
      <c r="D316" s="51" t="str">
        <f t="shared" si="281"/>
        <v>N</v>
      </c>
      <c r="E316" s="10" t="str">
        <f t="shared" si="282"/>
        <v>CRJO</v>
      </c>
      <c r="F316" s="10">
        <f t="shared" si="283"/>
        <v>34727</v>
      </c>
      <c r="G316" s="10">
        <f t="shared" si="284"/>
        <v>17575</v>
      </c>
      <c r="H316" s="10">
        <f t="shared" si="285"/>
        <v>1.975931721194879</v>
      </c>
      <c r="I316" s="10">
        <f t="shared" si="286"/>
        <v>6278.9</v>
      </c>
      <c r="J316" s="10">
        <f t="shared" si="287"/>
        <v>5.5</v>
      </c>
      <c r="K316" s="10">
        <f t="shared" si="288"/>
        <v>613</v>
      </c>
      <c r="L316" s="10" t="str">
        <f t="shared" si="289"/>
        <v>Y</v>
      </c>
      <c r="M316" s="10">
        <f t="shared" si="290"/>
        <v>12146</v>
      </c>
      <c r="N316" s="10">
        <f t="shared" si="291"/>
        <v>12941</v>
      </c>
      <c r="O316" s="10">
        <f t="shared" si="292"/>
        <v>0</v>
      </c>
      <c r="P316" s="10">
        <f t="shared" si="293"/>
        <v>9112</v>
      </c>
      <c r="Q316" s="10">
        <f t="shared" si="294"/>
        <v>0</v>
      </c>
      <c r="R316" s="10" t="str">
        <f t="shared" si="295"/>
        <v>Yes</v>
      </c>
      <c r="S316" s="10" t="str">
        <f t="shared" si="296"/>
        <v>Bemboka Waste Depot</v>
      </c>
      <c r="T316" s="10" t="str">
        <f t="shared" si="297"/>
        <v>Bermagui Waste &amp; Recycling Depot</v>
      </c>
      <c r="U316" s="10" t="str">
        <f t="shared" si="298"/>
        <v>Candelo Waste Depot</v>
      </c>
      <c r="V316" s="10" t="str">
        <f t="shared" si="299"/>
        <v>Eden Waste &amp; Recycling Depot</v>
      </c>
      <c r="W316" s="10" t="str">
        <f t="shared" si="300"/>
        <v>Merimbula Waste &amp; Recycling Depot</v>
      </c>
      <c r="X316" s="10" t="str">
        <f t="shared" si="301"/>
        <v>Wallagoot Waste Depot</v>
      </c>
      <c r="Y316" s="10">
        <f t="shared" si="302"/>
        <v>0</v>
      </c>
      <c r="Z316" s="10">
        <f t="shared" si="303"/>
        <v>0</v>
      </c>
      <c r="AA316" s="10">
        <f t="shared" si="304"/>
        <v>0</v>
      </c>
      <c r="AB316" s="10">
        <f t="shared" si="305"/>
        <v>0</v>
      </c>
      <c r="AC316" s="10">
        <f t="shared" si="306"/>
        <v>0</v>
      </c>
      <c r="AD316" s="10">
        <f t="shared" si="307"/>
        <v>0</v>
      </c>
      <c r="AE316" s="10">
        <f t="shared" si="308"/>
        <v>0</v>
      </c>
      <c r="AF316" s="10">
        <f t="shared" si="309"/>
        <v>0</v>
      </c>
      <c r="AG316" s="10">
        <f t="shared" si="310"/>
        <v>0</v>
      </c>
      <c r="AH316" s="10">
        <f t="shared" si="311"/>
        <v>0</v>
      </c>
      <c r="AI316" s="10">
        <f t="shared" si="312"/>
        <v>0</v>
      </c>
      <c r="AJ316" s="10">
        <f t="shared" si="313"/>
        <v>0</v>
      </c>
      <c r="AK316" s="10">
        <f t="shared" si="314"/>
        <v>0</v>
      </c>
      <c r="AL316" s="10">
        <f t="shared" si="315"/>
        <v>0</v>
      </c>
      <c r="AM316" s="10">
        <f t="shared" si="316"/>
        <v>0</v>
      </c>
      <c r="AN316" s="46">
        <f t="shared" si="317"/>
        <v>0</v>
      </c>
      <c r="AO316" s="10">
        <f t="shared" si="318"/>
        <v>0</v>
      </c>
      <c r="AP316" s="10">
        <f t="shared" si="319"/>
        <v>0</v>
      </c>
      <c r="AQ316" s="10">
        <f t="shared" si="320"/>
        <v>0</v>
      </c>
      <c r="AR316" s="10">
        <f t="shared" si="321"/>
        <v>0</v>
      </c>
      <c r="AS316" s="10">
        <f t="shared" si="322"/>
        <v>0</v>
      </c>
      <c r="AT316" s="10">
        <f t="shared" si="323"/>
        <v>0</v>
      </c>
      <c r="AU316" s="10">
        <f t="shared" si="324"/>
        <v>0</v>
      </c>
      <c r="AV316" s="10">
        <f t="shared" si="325"/>
        <v>0</v>
      </c>
      <c r="AW316" s="10">
        <f t="shared" si="326"/>
        <v>0</v>
      </c>
      <c r="AX316" s="10">
        <f t="shared" si="327"/>
        <v>0</v>
      </c>
    </row>
    <row r="317" spans="1:50" x14ac:dyDescent="0.2">
      <c r="A317" s="8">
        <v>10600</v>
      </c>
      <c r="B317" s="89" t="str">
        <f t="shared" si="279"/>
        <v>Bellingen</v>
      </c>
      <c r="C317" s="9" t="str">
        <f t="shared" si="280"/>
        <v>MidWaste</v>
      </c>
      <c r="D317" s="51" t="str">
        <f t="shared" si="281"/>
        <v>R</v>
      </c>
      <c r="E317" s="10" t="str">
        <f t="shared" si="282"/>
        <v>MNCJO</v>
      </c>
      <c r="F317" s="10">
        <f t="shared" si="283"/>
        <v>13141</v>
      </c>
      <c r="G317" s="10">
        <f t="shared" si="284"/>
        <v>6000</v>
      </c>
      <c r="H317" s="10">
        <f t="shared" si="285"/>
        <v>2.1901666666666668</v>
      </c>
      <c r="I317" s="10">
        <f t="shared" si="286"/>
        <v>1600.4</v>
      </c>
      <c r="J317" s="10">
        <f t="shared" si="287"/>
        <v>8.1999999999999993</v>
      </c>
      <c r="K317" s="10">
        <f t="shared" si="288"/>
        <v>764</v>
      </c>
      <c r="L317" s="10" t="str">
        <f t="shared" si="289"/>
        <v>Y</v>
      </c>
      <c r="M317" s="10">
        <f t="shared" si="290"/>
        <v>4343</v>
      </c>
      <c r="N317" s="10">
        <f t="shared" si="291"/>
        <v>4343</v>
      </c>
      <c r="O317" s="10">
        <f t="shared" si="292"/>
        <v>0</v>
      </c>
      <c r="P317" s="10">
        <f t="shared" si="293"/>
        <v>4343</v>
      </c>
      <c r="Q317" s="10">
        <f t="shared" si="294"/>
        <v>6000</v>
      </c>
      <c r="R317" s="10" t="str">
        <f t="shared" si="295"/>
        <v>No</v>
      </c>
      <c r="S317" s="10" t="str">
        <f t="shared" si="296"/>
        <v xml:space="preserve">Dorrigo WMC </v>
      </c>
      <c r="T317" s="10" t="str">
        <f t="shared" si="297"/>
        <v>Raleigh WMC</v>
      </c>
      <c r="U317" s="10" t="str">
        <f t="shared" si="298"/>
        <v xml:space="preserve">Bellingen Transfer station </v>
      </c>
      <c r="V317" s="10">
        <f t="shared" si="299"/>
        <v>0</v>
      </c>
      <c r="W317" s="10">
        <f t="shared" si="300"/>
        <v>0</v>
      </c>
      <c r="X317" s="10">
        <f t="shared" si="301"/>
        <v>0</v>
      </c>
      <c r="Y317" s="10">
        <f t="shared" si="302"/>
        <v>0</v>
      </c>
      <c r="Z317" s="10">
        <f t="shared" si="303"/>
        <v>0</v>
      </c>
      <c r="AA317" s="10">
        <f t="shared" si="304"/>
        <v>0</v>
      </c>
      <c r="AB317" s="10">
        <f t="shared" si="305"/>
        <v>0</v>
      </c>
      <c r="AC317" s="10">
        <f t="shared" si="306"/>
        <v>0</v>
      </c>
      <c r="AD317" s="10">
        <f t="shared" si="307"/>
        <v>0</v>
      </c>
      <c r="AE317" s="10">
        <f t="shared" si="308"/>
        <v>0</v>
      </c>
      <c r="AF317" s="10">
        <f t="shared" si="309"/>
        <v>0</v>
      </c>
      <c r="AG317" s="10">
        <f t="shared" si="310"/>
        <v>0</v>
      </c>
      <c r="AH317" s="10">
        <f t="shared" si="311"/>
        <v>0</v>
      </c>
      <c r="AI317" s="10">
        <f t="shared" si="312"/>
        <v>0</v>
      </c>
      <c r="AJ317" s="10">
        <f t="shared" si="313"/>
        <v>0</v>
      </c>
      <c r="AK317" s="10">
        <f t="shared" si="314"/>
        <v>0</v>
      </c>
      <c r="AL317" s="10">
        <f t="shared" si="315"/>
        <v>0</v>
      </c>
      <c r="AM317" s="10">
        <f t="shared" si="316"/>
        <v>0</v>
      </c>
      <c r="AN317" s="46">
        <f t="shared" si="317"/>
        <v>0</v>
      </c>
      <c r="AO317" s="10">
        <f t="shared" si="318"/>
        <v>0</v>
      </c>
      <c r="AP317" s="10">
        <f t="shared" si="319"/>
        <v>0</v>
      </c>
      <c r="AQ317" s="10">
        <f t="shared" si="320"/>
        <v>0</v>
      </c>
      <c r="AR317" s="10">
        <f t="shared" si="321"/>
        <v>0</v>
      </c>
      <c r="AS317" s="10">
        <f t="shared" si="322"/>
        <v>0</v>
      </c>
      <c r="AT317" s="10">
        <f t="shared" si="323"/>
        <v>0</v>
      </c>
      <c r="AU317" s="10">
        <f t="shared" si="324"/>
        <v>0</v>
      </c>
      <c r="AV317" s="10">
        <f t="shared" si="325"/>
        <v>0</v>
      </c>
      <c r="AW317" s="10">
        <f t="shared" si="326"/>
        <v>0</v>
      </c>
      <c r="AX317" s="10">
        <f t="shared" si="327"/>
        <v>0</v>
      </c>
    </row>
    <row r="318" spans="1:50" x14ac:dyDescent="0.2">
      <c r="A318" s="8">
        <v>10650</v>
      </c>
      <c r="B318" s="89" t="str">
        <f t="shared" si="279"/>
        <v>Berrigan</v>
      </c>
      <c r="C318" s="9" t="str">
        <f t="shared" si="280"/>
        <v>RAMJO Murray</v>
      </c>
      <c r="D318" s="51" t="str">
        <f t="shared" si="281"/>
        <v>N</v>
      </c>
      <c r="E318" s="10" t="str">
        <f t="shared" si="282"/>
        <v>RMJO</v>
      </c>
      <c r="F318" s="10">
        <f t="shared" si="283"/>
        <v>8784</v>
      </c>
      <c r="G318" s="10">
        <f t="shared" si="284"/>
        <v>5029</v>
      </c>
      <c r="H318" s="10">
        <f t="shared" si="285"/>
        <v>1.7466693179558561</v>
      </c>
      <c r="I318" s="10">
        <f t="shared" si="286"/>
        <v>2065.8000000000002</v>
      </c>
      <c r="J318" s="10">
        <f t="shared" si="287"/>
        <v>4.3</v>
      </c>
      <c r="K318" s="10">
        <f t="shared" si="288"/>
        <v>322</v>
      </c>
      <c r="L318" s="10" t="str">
        <f t="shared" si="289"/>
        <v>Y</v>
      </c>
      <c r="M318" s="10">
        <f t="shared" si="290"/>
        <v>4179</v>
      </c>
      <c r="N318" s="10">
        <f t="shared" si="291"/>
        <v>3630</v>
      </c>
      <c r="O318" s="10">
        <f t="shared" si="292"/>
        <v>0</v>
      </c>
      <c r="P318" s="10">
        <f t="shared" si="293"/>
        <v>0</v>
      </c>
      <c r="Q318" s="10">
        <f t="shared" si="294"/>
        <v>0</v>
      </c>
      <c r="R318" s="10" t="str">
        <f t="shared" si="295"/>
        <v>Yes</v>
      </c>
      <c r="S318" s="10" t="str">
        <f t="shared" si="296"/>
        <v>Berrigan Landfill</v>
      </c>
      <c r="T318" s="10" t="str">
        <f t="shared" si="297"/>
        <v>Tocumwal Transfer Station</v>
      </c>
      <c r="U318" s="10">
        <f t="shared" si="298"/>
        <v>0</v>
      </c>
      <c r="V318" s="10">
        <f t="shared" si="299"/>
        <v>0</v>
      </c>
      <c r="W318" s="10">
        <f t="shared" si="300"/>
        <v>0</v>
      </c>
      <c r="X318" s="10">
        <f t="shared" si="301"/>
        <v>0</v>
      </c>
      <c r="Y318" s="10">
        <f t="shared" si="302"/>
        <v>0</v>
      </c>
      <c r="Z318" s="10">
        <f t="shared" si="303"/>
        <v>0</v>
      </c>
      <c r="AA318" s="10">
        <f t="shared" si="304"/>
        <v>0</v>
      </c>
      <c r="AB318" s="10">
        <f t="shared" si="305"/>
        <v>0</v>
      </c>
      <c r="AC318" s="10">
        <f t="shared" si="306"/>
        <v>0</v>
      </c>
      <c r="AD318" s="10">
        <f t="shared" si="307"/>
        <v>0</v>
      </c>
      <c r="AE318" s="10">
        <f t="shared" si="308"/>
        <v>0</v>
      </c>
      <c r="AF318" s="10">
        <f t="shared" si="309"/>
        <v>0</v>
      </c>
      <c r="AG318" s="10">
        <f t="shared" si="310"/>
        <v>0</v>
      </c>
      <c r="AH318" s="10">
        <f t="shared" si="311"/>
        <v>0</v>
      </c>
      <c r="AI318" s="10">
        <f t="shared" si="312"/>
        <v>0</v>
      </c>
      <c r="AJ318" s="10">
        <f t="shared" si="313"/>
        <v>0</v>
      </c>
      <c r="AK318" s="10">
        <f t="shared" si="314"/>
        <v>0</v>
      </c>
      <c r="AL318" s="10">
        <f t="shared" si="315"/>
        <v>0</v>
      </c>
      <c r="AM318" s="10">
        <f t="shared" si="316"/>
        <v>0</v>
      </c>
      <c r="AN318" s="46">
        <f t="shared" si="317"/>
        <v>0</v>
      </c>
      <c r="AO318" s="10">
        <f t="shared" si="318"/>
        <v>0</v>
      </c>
      <c r="AP318" s="10">
        <f t="shared" si="319"/>
        <v>0</v>
      </c>
      <c r="AQ318" s="10">
        <f t="shared" si="320"/>
        <v>0</v>
      </c>
      <c r="AR318" s="10">
        <f t="shared" si="321"/>
        <v>0</v>
      </c>
      <c r="AS318" s="10">
        <f t="shared" si="322"/>
        <v>0</v>
      </c>
      <c r="AT318" s="10">
        <f t="shared" si="323"/>
        <v>0</v>
      </c>
      <c r="AU318" s="10">
        <f t="shared" si="324"/>
        <v>0</v>
      </c>
      <c r="AV318" s="10">
        <f t="shared" si="325"/>
        <v>0</v>
      </c>
      <c r="AW318" s="10">
        <f t="shared" si="326"/>
        <v>0</v>
      </c>
      <c r="AX318" s="10">
        <f t="shared" si="327"/>
        <v>0</v>
      </c>
    </row>
    <row r="319" spans="1:50" x14ac:dyDescent="0.2">
      <c r="A319" s="8">
        <v>10800</v>
      </c>
      <c r="B319" s="89" t="str">
        <f t="shared" si="279"/>
        <v>Bland</v>
      </c>
      <c r="C319" s="9" t="str">
        <f t="shared" si="280"/>
        <v>REROC</v>
      </c>
      <c r="D319" s="51" t="str">
        <f t="shared" si="281"/>
        <v>N</v>
      </c>
      <c r="E319" s="10" t="str">
        <f t="shared" si="282"/>
        <v>RJO</v>
      </c>
      <c r="F319" s="10">
        <f t="shared" si="283"/>
        <v>5937</v>
      </c>
      <c r="G319" s="10">
        <f t="shared" si="284"/>
        <v>4515</v>
      </c>
      <c r="H319" s="10">
        <f t="shared" si="285"/>
        <v>1.3149501661129568</v>
      </c>
      <c r="I319" s="10">
        <f t="shared" si="286"/>
        <v>8557.7000000000007</v>
      </c>
      <c r="J319" s="10">
        <f t="shared" si="287"/>
        <v>0.7</v>
      </c>
      <c r="K319" s="10">
        <f t="shared" si="288"/>
        <v>450</v>
      </c>
      <c r="L319" s="10" t="str">
        <f t="shared" si="289"/>
        <v>Y</v>
      </c>
      <c r="M319" s="10">
        <f t="shared" si="290"/>
        <v>1889</v>
      </c>
      <c r="N319" s="10">
        <f t="shared" si="291"/>
        <v>0</v>
      </c>
      <c r="O319" s="10">
        <f t="shared" si="292"/>
        <v>0</v>
      </c>
      <c r="P319" s="10">
        <f t="shared" si="293"/>
        <v>0</v>
      </c>
      <c r="Q319" s="10">
        <f t="shared" si="294"/>
        <v>0</v>
      </c>
      <c r="R319" s="10" t="str">
        <f t="shared" si="295"/>
        <v>Yes</v>
      </c>
      <c r="S319" s="10" t="str">
        <f t="shared" si="296"/>
        <v>West Wyalong Landfill, Racecourse Road, West Wyalong, NSW 2671</v>
      </c>
      <c r="T319" s="10">
        <f t="shared" si="297"/>
        <v>0</v>
      </c>
      <c r="U319" s="10">
        <f t="shared" si="298"/>
        <v>0</v>
      </c>
      <c r="V319" s="10">
        <f t="shared" si="299"/>
        <v>0</v>
      </c>
      <c r="W319" s="10">
        <f t="shared" si="300"/>
        <v>0</v>
      </c>
      <c r="X319" s="10">
        <f t="shared" si="301"/>
        <v>0</v>
      </c>
      <c r="Y319" s="10">
        <f t="shared" si="302"/>
        <v>0</v>
      </c>
      <c r="Z319" s="10">
        <f t="shared" si="303"/>
        <v>0</v>
      </c>
      <c r="AA319" s="10">
        <f t="shared" si="304"/>
        <v>0</v>
      </c>
      <c r="AB319" s="10">
        <f t="shared" si="305"/>
        <v>0</v>
      </c>
      <c r="AC319" s="10">
        <f t="shared" si="306"/>
        <v>0</v>
      </c>
      <c r="AD319" s="10">
        <f t="shared" si="307"/>
        <v>0</v>
      </c>
      <c r="AE319" s="10">
        <f t="shared" si="308"/>
        <v>0</v>
      </c>
      <c r="AF319" s="10">
        <f t="shared" si="309"/>
        <v>0</v>
      </c>
      <c r="AG319" s="10">
        <f t="shared" si="310"/>
        <v>0</v>
      </c>
      <c r="AH319" s="10">
        <f t="shared" si="311"/>
        <v>0</v>
      </c>
      <c r="AI319" s="10">
        <f t="shared" si="312"/>
        <v>0</v>
      </c>
      <c r="AJ319" s="10">
        <f t="shared" si="313"/>
        <v>0</v>
      </c>
      <c r="AK319" s="10">
        <f t="shared" si="314"/>
        <v>0</v>
      </c>
      <c r="AL319" s="10">
        <f t="shared" si="315"/>
        <v>0</v>
      </c>
      <c r="AM319" s="10">
        <f t="shared" si="316"/>
        <v>0</v>
      </c>
      <c r="AN319" s="46">
        <f t="shared" si="317"/>
        <v>0</v>
      </c>
      <c r="AO319" s="10">
        <f t="shared" si="318"/>
        <v>0</v>
      </c>
      <c r="AP319" s="10">
        <f t="shared" si="319"/>
        <v>0</v>
      </c>
      <c r="AQ319" s="10">
        <f t="shared" si="320"/>
        <v>0</v>
      </c>
      <c r="AR319" s="10">
        <f t="shared" si="321"/>
        <v>0</v>
      </c>
      <c r="AS319" s="10">
        <f t="shared" si="322"/>
        <v>0</v>
      </c>
      <c r="AT319" s="10">
        <f t="shared" si="323"/>
        <v>0</v>
      </c>
      <c r="AU319" s="10">
        <f t="shared" si="324"/>
        <v>0</v>
      </c>
      <c r="AV319" s="10">
        <f t="shared" si="325"/>
        <v>0</v>
      </c>
      <c r="AW319" s="10">
        <f t="shared" si="326"/>
        <v>0</v>
      </c>
      <c r="AX319" s="10">
        <f t="shared" si="327"/>
        <v>0</v>
      </c>
    </row>
    <row r="320" spans="1:50" x14ac:dyDescent="0.2">
      <c r="A320" s="8">
        <v>10850</v>
      </c>
      <c r="B320" s="89" t="str">
        <f t="shared" si="279"/>
        <v>Blayney</v>
      </c>
      <c r="C320" s="9" t="str">
        <f t="shared" si="280"/>
        <v>NetWaste</v>
      </c>
      <c r="D320" s="51" t="str">
        <f t="shared" si="281"/>
        <v>N</v>
      </c>
      <c r="E320" s="10" t="str">
        <f t="shared" si="282"/>
        <v>CNJO</v>
      </c>
      <c r="F320" s="10">
        <f t="shared" si="283"/>
        <v>7382</v>
      </c>
      <c r="G320" s="10">
        <f t="shared" si="284"/>
        <v>4157</v>
      </c>
      <c r="H320" s="10">
        <f t="shared" si="285"/>
        <v>1.7757998556651431</v>
      </c>
      <c r="I320" s="10">
        <f t="shared" si="286"/>
        <v>1524.6</v>
      </c>
      <c r="J320" s="10">
        <f t="shared" si="287"/>
        <v>4.8</v>
      </c>
      <c r="K320" s="10">
        <f t="shared" si="288"/>
        <v>340</v>
      </c>
      <c r="L320" s="10" t="str">
        <f t="shared" si="289"/>
        <v>Y</v>
      </c>
      <c r="M320" s="10">
        <f t="shared" si="290"/>
        <v>2699</v>
      </c>
      <c r="N320" s="10">
        <f t="shared" si="291"/>
        <v>2699</v>
      </c>
      <c r="O320" s="10">
        <f t="shared" si="292"/>
        <v>0</v>
      </c>
      <c r="P320" s="10">
        <f t="shared" si="293"/>
        <v>0</v>
      </c>
      <c r="Q320" s="10">
        <f t="shared" si="294"/>
        <v>4157</v>
      </c>
      <c r="R320" s="10" t="str">
        <f t="shared" si="295"/>
        <v>Yes</v>
      </c>
      <c r="S320" s="10" t="str">
        <f t="shared" si="296"/>
        <v>Blayney Waste Facility</v>
      </c>
      <c r="T320" s="10">
        <f t="shared" si="297"/>
        <v>0</v>
      </c>
      <c r="U320" s="10">
        <f t="shared" si="298"/>
        <v>0</v>
      </c>
      <c r="V320" s="10">
        <f t="shared" si="299"/>
        <v>0</v>
      </c>
      <c r="W320" s="10">
        <f t="shared" si="300"/>
        <v>0</v>
      </c>
      <c r="X320" s="10">
        <f t="shared" si="301"/>
        <v>0</v>
      </c>
      <c r="Y320" s="10">
        <f t="shared" si="302"/>
        <v>0</v>
      </c>
      <c r="Z320" s="10">
        <f t="shared" si="303"/>
        <v>0</v>
      </c>
      <c r="AA320" s="10">
        <f t="shared" si="304"/>
        <v>0</v>
      </c>
      <c r="AB320" s="10">
        <f t="shared" si="305"/>
        <v>0</v>
      </c>
      <c r="AC320" s="10">
        <f t="shared" si="306"/>
        <v>0</v>
      </c>
      <c r="AD320" s="10">
        <f t="shared" si="307"/>
        <v>0</v>
      </c>
      <c r="AE320" s="10">
        <f t="shared" si="308"/>
        <v>0</v>
      </c>
      <c r="AF320" s="10">
        <f t="shared" si="309"/>
        <v>0</v>
      </c>
      <c r="AG320" s="10">
        <f t="shared" si="310"/>
        <v>0</v>
      </c>
      <c r="AH320" s="10">
        <f t="shared" si="311"/>
        <v>0</v>
      </c>
      <c r="AI320" s="10">
        <f t="shared" si="312"/>
        <v>0</v>
      </c>
      <c r="AJ320" s="10">
        <f t="shared" si="313"/>
        <v>0</v>
      </c>
      <c r="AK320" s="10">
        <f t="shared" si="314"/>
        <v>0</v>
      </c>
      <c r="AL320" s="10">
        <f t="shared" si="315"/>
        <v>0</v>
      </c>
      <c r="AM320" s="10">
        <f t="shared" si="316"/>
        <v>0</v>
      </c>
      <c r="AN320" s="46">
        <f t="shared" si="317"/>
        <v>0</v>
      </c>
      <c r="AO320" s="10">
        <f t="shared" si="318"/>
        <v>0</v>
      </c>
      <c r="AP320" s="10">
        <f t="shared" si="319"/>
        <v>0</v>
      </c>
      <c r="AQ320" s="10">
        <f t="shared" si="320"/>
        <v>0</v>
      </c>
      <c r="AR320" s="10">
        <f t="shared" si="321"/>
        <v>0</v>
      </c>
      <c r="AS320" s="10">
        <f t="shared" si="322"/>
        <v>0</v>
      </c>
      <c r="AT320" s="10">
        <f t="shared" si="323"/>
        <v>0</v>
      </c>
      <c r="AU320" s="10">
        <f t="shared" si="324"/>
        <v>0</v>
      </c>
      <c r="AV320" s="10">
        <f t="shared" si="325"/>
        <v>0</v>
      </c>
      <c r="AW320" s="10">
        <f t="shared" si="326"/>
        <v>0</v>
      </c>
      <c r="AX320" s="10">
        <f t="shared" si="327"/>
        <v>0</v>
      </c>
    </row>
    <row r="321" spans="1:50" x14ac:dyDescent="0.2">
      <c r="A321" s="8">
        <v>10900</v>
      </c>
      <c r="B321" s="89" t="str">
        <f t="shared" si="279"/>
        <v>Blue Mountains</v>
      </c>
      <c r="C321" s="9" t="str">
        <f t="shared" si="280"/>
        <v>WSROC</v>
      </c>
      <c r="D321" s="51" t="str">
        <f t="shared" si="281"/>
        <v>R</v>
      </c>
      <c r="E321" s="10">
        <f t="shared" si="282"/>
        <v>0</v>
      </c>
      <c r="F321" s="10">
        <f t="shared" si="283"/>
        <v>79195</v>
      </c>
      <c r="G321" s="10">
        <f t="shared" si="284"/>
        <v>38668</v>
      </c>
      <c r="H321" s="10">
        <f t="shared" si="285"/>
        <v>2.0480759284162615</v>
      </c>
      <c r="I321" s="10">
        <f t="shared" si="286"/>
        <v>1431.1</v>
      </c>
      <c r="J321" s="10">
        <f t="shared" si="287"/>
        <v>55.3</v>
      </c>
      <c r="K321" s="10">
        <f t="shared" si="288"/>
        <v>439</v>
      </c>
      <c r="L321" s="10" t="str">
        <f t="shared" si="289"/>
        <v>Y</v>
      </c>
      <c r="M321" s="10">
        <f t="shared" si="290"/>
        <v>33684</v>
      </c>
      <c r="N321" s="10">
        <f t="shared" si="291"/>
        <v>31953</v>
      </c>
      <c r="O321" s="10">
        <f t="shared" si="292"/>
        <v>33533</v>
      </c>
      <c r="P321" s="10">
        <f t="shared" si="293"/>
        <v>0</v>
      </c>
      <c r="Q321" s="10">
        <f t="shared" si="294"/>
        <v>38668</v>
      </c>
      <c r="R321" s="10" t="str">
        <f t="shared" si="295"/>
        <v>Yes</v>
      </c>
      <c r="S321" s="10" t="str">
        <f t="shared" si="296"/>
        <v>Blaxland Waste Management Facility</v>
      </c>
      <c r="T321" s="10" t="str">
        <f t="shared" si="297"/>
        <v>Katoomba Waste Management Facility</v>
      </c>
      <c r="U321" s="10">
        <f t="shared" si="298"/>
        <v>0</v>
      </c>
      <c r="V321" s="10">
        <f t="shared" si="299"/>
        <v>0</v>
      </c>
      <c r="W321" s="10">
        <f t="shared" si="300"/>
        <v>0</v>
      </c>
      <c r="X321" s="10">
        <f t="shared" si="301"/>
        <v>0</v>
      </c>
      <c r="Y321" s="10">
        <f t="shared" si="302"/>
        <v>0</v>
      </c>
      <c r="Z321" s="10">
        <f t="shared" si="303"/>
        <v>0</v>
      </c>
      <c r="AA321" s="10">
        <f t="shared" si="304"/>
        <v>0</v>
      </c>
      <c r="AB321" s="10">
        <f t="shared" si="305"/>
        <v>0</v>
      </c>
      <c r="AC321" s="10">
        <f t="shared" si="306"/>
        <v>0</v>
      </c>
      <c r="AD321" s="10">
        <f t="shared" si="307"/>
        <v>0</v>
      </c>
      <c r="AE321" s="10">
        <f t="shared" si="308"/>
        <v>0</v>
      </c>
      <c r="AF321" s="10">
        <f t="shared" si="309"/>
        <v>0</v>
      </c>
      <c r="AG321" s="10">
        <f t="shared" si="310"/>
        <v>0</v>
      </c>
      <c r="AH321" s="10">
        <f t="shared" si="311"/>
        <v>0</v>
      </c>
      <c r="AI321" s="10">
        <f t="shared" si="312"/>
        <v>0</v>
      </c>
      <c r="AJ321" s="10">
        <f t="shared" si="313"/>
        <v>0</v>
      </c>
      <c r="AK321" s="10">
        <f t="shared" si="314"/>
        <v>0</v>
      </c>
      <c r="AL321" s="10">
        <f t="shared" si="315"/>
        <v>0</v>
      </c>
      <c r="AM321" s="10">
        <f t="shared" si="316"/>
        <v>0</v>
      </c>
      <c r="AN321" s="46">
        <f t="shared" si="317"/>
        <v>0</v>
      </c>
      <c r="AO321" s="10">
        <f t="shared" si="318"/>
        <v>0</v>
      </c>
      <c r="AP321" s="10">
        <f t="shared" si="319"/>
        <v>0</v>
      </c>
      <c r="AQ321" s="10">
        <f t="shared" si="320"/>
        <v>0</v>
      </c>
      <c r="AR321" s="10">
        <f t="shared" si="321"/>
        <v>0</v>
      </c>
      <c r="AS321" s="10">
        <f t="shared" si="322"/>
        <v>0</v>
      </c>
      <c r="AT321" s="10">
        <f t="shared" si="323"/>
        <v>0</v>
      </c>
      <c r="AU321" s="10">
        <f t="shared" si="324"/>
        <v>0</v>
      </c>
      <c r="AV321" s="10">
        <f t="shared" si="325"/>
        <v>0</v>
      </c>
      <c r="AW321" s="10">
        <f t="shared" si="326"/>
        <v>0</v>
      </c>
      <c r="AX321" s="10">
        <f t="shared" si="327"/>
        <v>0</v>
      </c>
    </row>
    <row r="322" spans="1:50" x14ac:dyDescent="0.2">
      <c r="A322" s="8">
        <v>10950</v>
      </c>
      <c r="B322" s="89" t="str">
        <f t="shared" si="279"/>
        <v>Bogan</v>
      </c>
      <c r="C322" s="9" t="str">
        <f t="shared" si="280"/>
        <v>NetWaste</v>
      </c>
      <c r="D322" s="51" t="str">
        <f t="shared" si="281"/>
        <v>N</v>
      </c>
      <c r="E322" s="10" t="str">
        <f t="shared" si="282"/>
        <v>OJO</v>
      </c>
      <c r="F322" s="10">
        <f t="shared" si="283"/>
        <v>2529</v>
      </c>
      <c r="G322" s="10">
        <f t="shared" si="284"/>
        <v>2116</v>
      </c>
      <c r="H322" s="10">
        <f t="shared" si="285"/>
        <v>1.1951795841209829</v>
      </c>
      <c r="I322" s="10">
        <f t="shared" si="286"/>
        <v>14599.9</v>
      </c>
      <c r="J322" s="10">
        <f t="shared" si="287"/>
        <v>0.2</v>
      </c>
      <c r="K322" s="10">
        <f t="shared" si="288"/>
        <v>501</v>
      </c>
      <c r="L322" s="10" t="str">
        <f t="shared" si="289"/>
        <v>Y</v>
      </c>
      <c r="M322" s="10">
        <f t="shared" si="290"/>
        <v>1040</v>
      </c>
      <c r="N322" s="10">
        <f t="shared" si="291"/>
        <v>1098</v>
      </c>
      <c r="O322" s="10">
        <f t="shared" si="292"/>
        <v>0</v>
      </c>
      <c r="P322" s="10">
        <f t="shared" si="293"/>
        <v>0</v>
      </c>
      <c r="Q322" s="10">
        <f t="shared" si="294"/>
        <v>0</v>
      </c>
      <c r="R322" s="10" t="str">
        <f t="shared" si="295"/>
        <v>Yes</v>
      </c>
      <c r="S322" s="10" t="str">
        <f t="shared" si="296"/>
        <v>Nyngan Waste and Resource Management Facility</v>
      </c>
      <c r="T322" s="10">
        <f t="shared" si="297"/>
        <v>0</v>
      </c>
      <c r="U322" s="10">
        <f t="shared" si="298"/>
        <v>0</v>
      </c>
      <c r="V322" s="10">
        <f t="shared" si="299"/>
        <v>0</v>
      </c>
      <c r="W322" s="10">
        <f t="shared" si="300"/>
        <v>0</v>
      </c>
      <c r="X322" s="10">
        <f t="shared" si="301"/>
        <v>0</v>
      </c>
      <c r="Y322" s="10">
        <f t="shared" si="302"/>
        <v>0</v>
      </c>
      <c r="Z322" s="10">
        <f t="shared" si="303"/>
        <v>0</v>
      </c>
      <c r="AA322" s="10">
        <f t="shared" si="304"/>
        <v>0</v>
      </c>
      <c r="AB322" s="10">
        <f t="shared" si="305"/>
        <v>0</v>
      </c>
      <c r="AC322" s="10">
        <f t="shared" si="306"/>
        <v>0</v>
      </c>
      <c r="AD322" s="10">
        <f t="shared" si="307"/>
        <v>0</v>
      </c>
      <c r="AE322" s="10">
        <f t="shared" si="308"/>
        <v>0</v>
      </c>
      <c r="AF322" s="10">
        <f t="shared" si="309"/>
        <v>0</v>
      </c>
      <c r="AG322" s="10">
        <f t="shared" si="310"/>
        <v>0</v>
      </c>
      <c r="AH322" s="10">
        <f t="shared" si="311"/>
        <v>0</v>
      </c>
      <c r="AI322" s="10">
        <f t="shared" si="312"/>
        <v>0</v>
      </c>
      <c r="AJ322" s="10">
        <f t="shared" si="313"/>
        <v>0</v>
      </c>
      <c r="AK322" s="10">
        <f t="shared" si="314"/>
        <v>0</v>
      </c>
      <c r="AL322" s="10">
        <f t="shared" si="315"/>
        <v>0</v>
      </c>
      <c r="AM322" s="10">
        <f t="shared" si="316"/>
        <v>0</v>
      </c>
      <c r="AN322" s="46">
        <f t="shared" si="317"/>
        <v>0</v>
      </c>
      <c r="AO322" s="10">
        <f t="shared" si="318"/>
        <v>0</v>
      </c>
      <c r="AP322" s="10">
        <f t="shared" si="319"/>
        <v>0</v>
      </c>
      <c r="AQ322" s="10">
        <f t="shared" si="320"/>
        <v>0</v>
      </c>
      <c r="AR322" s="10">
        <f t="shared" si="321"/>
        <v>0</v>
      </c>
      <c r="AS322" s="10">
        <f t="shared" si="322"/>
        <v>0</v>
      </c>
      <c r="AT322" s="10">
        <f t="shared" si="323"/>
        <v>0</v>
      </c>
      <c r="AU322" s="10">
        <f t="shared" si="324"/>
        <v>0</v>
      </c>
      <c r="AV322" s="10">
        <f t="shared" si="325"/>
        <v>0</v>
      </c>
      <c r="AW322" s="10">
        <f t="shared" si="326"/>
        <v>0</v>
      </c>
      <c r="AX322" s="10">
        <f t="shared" si="327"/>
        <v>0</v>
      </c>
    </row>
    <row r="323" spans="1:50" x14ac:dyDescent="0.2">
      <c r="A323" s="8">
        <v>11150</v>
      </c>
      <c r="B323" s="89" t="str">
        <f t="shared" si="279"/>
        <v>Bourke</v>
      </c>
      <c r="C323" s="9" t="str">
        <f t="shared" si="280"/>
        <v>NetWaste</v>
      </c>
      <c r="D323" s="51" t="str">
        <f t="shared" si="281"/>
        <v>N</v>
      </c>
      <c r="E323" s="10" t="str">
        <f t="shared" si="282"/>
        <v>FNWJO</v>
      </c>
      <c r="F323" s="10">
        <f t="shared" si="283"/>
        <v>2625</v>
      </c>
      <c r="G323" s="10">
        <f t="shared" si="284"/>
        <v>1039</v>
      </c>
      <c r="H323" s="10">
        <f t="shared" si="285"/>
        <v>2.5264677574590952</v>
      </c>
      <c r="I323" s="10">
        <f t="shared" si="286"/>
        <v>41599.5</v>
      </c>
      <c r="J323" s="10">
        <f t="shared" si="287"/>
        <v>0.1</v>
      </c>
      <c r="K323" s="10">
        <f t="shared" si="288"/>
        <v>285</v>
      </c>
      <c r="L323" s="10" t="str">
        <f t="shared" si="289"/>
        <v>Y</v>
      </c>
      <c r="M323" s="10">
        <f t="shared" si="290"/>
        <v>974</v>
      </c>
      <c r="N323" s="10">
        <f t="shared" si="291"/>
        <v>0</v>
      </c>
      <c r="O323" s="10">
        <f t="shared" si="292"/>
        <v>0</v>
      </c>
      <c r="P323" s="10">
        <f t="shared" si="293"/>
        <v>0</v>
      </c>
      <c r="Q323" s="10">
        <f t="shared" si="294"/>
        <v>0</v>
      </c>
      <c r="R323" s="10" t="str">
        <f t="shared" si="295"/>
        <v>Yes</v>
      </c>
      <c r="S323" s="10" t="str">
        <f t="shared" si="296"/>
        <v xml:space="preserve"> Bourke</v>
      </c>
      <c r="T323" s="10" t="str">
        <f t="shared" si="297"/>
        <v>Byrock</v>
      </c>
      <c r="U323" s="10" t="str">
        <f t="shared" si="298"/>
        <v>Enngonia</v>
      </c>
      <c r="V323" s="10" t="str">
        <f t="shared" si="299"/>
        <v>Fords Bridge</v>
      </c>
      <c r="W323" s="10" t="str">
        <f t="shared" si="300"/>
        <v>Louth Waste Depot</v>
      </c>
      <c r="X323" s="10" t="str">
        <f t="shared" si="301"/>
        <v>Wanaaring Waste Depot</v>
      </c>
      <c r="Y323" s="10">
        <f t="shared" si="302"/>
        <v>0</v>
      </c>
      <c r="Z323" s="10">
        <f t="shared" si="303"/>
        <v>0</v>
      </c>
      <c r="AA323" s="10">
        <f t="shared" si="304"/>
        <v>0</v>
      </c>
      <c r="AB323" s="10">
        <f t="shared" si="305"/>
        <v>0</v>
      </c>
      <c r="AC323" s="10">
        <f t="shared" si="306"/>
        <v>0</v>
      </c>
      <c r="AD323" s="10">
        <f t="shared" si="307"/>
        <v>0</v>
      </c>
      <c r="AE323" s="10">
        <f t="shared" si="308"/>
        <v>0</v>
      </c>
      <c r="AF323" s="10">
        <f t="shared" si="309"/>
        <v>0</v>
      </c>
      <c r="AG323" s="10">
        <f t="shared" si="310"/>
        <v>0</v>
      </c>
      <c r="AH323" s="10">
        <f t="shared" si="311"/>
        <v>0</v>
      </c>
      <c r="AI323" s="10">
        <f t="shared" si="312"/>
        <v>0</v>
      </c>
      <c r="AJ323" s="10">
        <f t="shared" si="313"/>
        <v>0</v>
      </c>
      <c r="AK323" s="10">
        <f t="shared" si="314"/>
        <v>0</v>
      </c>
      <c r="AL323" s="10">
        <f t="shared" si="315"/>
        <v>0</v>
      </c>
      <c r="AM323" s="10">
        <f t="shared" si="316"/>
        <v>0</v>
      </c>
      <c r="AN323" s="46">
        <f t="shared" si="317"/>
        <v>0</v>
      </c>
      <c r="AO323" s="10">
        <f t="shared" si="318"/>
        <v>0</v>
      </c>
      <c r="AP323" s="10">
        <f t="shared" si="319"/>
        <v>0</v>
      </c>
      <c r="AQ323" s="10">
        <f t="shared" si="320"/>
        <v>0</v>
      </c>
      <c r="AR323" s="10">
        <f t="shared" si="321"/>
        <v>0</v>
      </c>
      <c r="AS323" s="10">
        <f t="shared" si="322"/>
        <v>0</v>
      </c>
      <c r="AT323" s="10">
        <f t="shared" si="323"/>
        <v>0</v>
      </c>
      <c r="AU323" s="10">
        <f t="shared" si="324"/>
        <v>0</v>
      </c>
      <c r="AV323" s="10">
        <f t="shared" si="325"/>
        <v>0</v>
      </c>
      <c r="AW323" s="10">
        <f t="shared" si="326"/>
        <v>0</v>
      </c>
      <c r="AX323" s="10">
        <f t="shared" si="327"/>
        <v>0</v>
      </c>
    </row>
    <row r="324" spans="1:50" x14ac:dyDescent="0.2">
      <c r="A324" s="8">
        <v>11200</v>
      </c>
      <c r="B324" s="89" t="str">
        <f t="shared" si="279"/>
        <v>Brewarrina</v>
      </c>
      <c r="C324" s="9" t="str">
        <f t="shared" si="280"/>
        <v>NetWaste</v>
      </c>
      <c r="D324" s="51" t="str">
        <f t="shared" si="281"/>
        <v>N</v>
      </c>
      <c r="E324" s="10">
        <f t="shared" si="282"/>
        <v>0</v>
      </c>
      <c r="F324" s="10">
        <f t="shared" si="283"/>
        <v>1553</v>
      </c>
      <c r="G324" s="10">
        <f t="shared" si="284"/>
        <v>725</v>
      </c>
      <c r="H324" s="10">
        <f t="shared" si="285"/>
        <v>2.1420689655172414</v>
      </c>
      <c r="I324" s="10">
        <f t="shared" si="286"/>
        <v>19163.5</v>
      </c>
      <c r="J324" s="10">
        <f t="shared" si="287"/>
        <v>0.1</v>
      </c>
      <c r="K324" s="10">
        <f t="shared" si="288"/>
        <v>454</v>
      </c>
      <c r="L324" s="10" t="str">
        <f t="shared" si="289"/>
        <v>Y</v>
      </c>
      <c r="M324" s="10">
        <f t="shared" si="290"/>
        <v>665</v>
      </c>
      <c r="N324" s="10">
        <f t="shared" si="291"/>
        <v>0</v>
      </c>
      <c r="O324" s="10">
        <f t="shared" si="292"/>
        <v>0</v>
      </c>
      <c r="P324" s="10">
        <f t="shared" si="293"/>
        <v>0</v>
      </c>
      <c r="Q324" s="10">
        <f t="shared" si="294"/>
        <v>725</v>
      </c>
      <c r="R324" s="10" t="str">
        <f t="shared" si="295"/>
        <v>Yes</v>
      </c>
      <c r="S324" s="10" t="str">
        <f t="shared" si="296"/>
        <v>Brewarrina Waste Depot</v>
      </c>
      <c r="T324" s="10" t="str">
        <f t="shared" si="297"/>
        <v xml:space="preserve">Goodooga Waste Depot </v>
      </c>
      <c r="U324" s="10" t="str">
        <f t="shared" si="298"/>
        <v xml:space="preserve">Angledool </v>
      </c>
      <c r="V324" s="10" t="str">
        <f t="shared" si="299"/>
        <v>Weilmoringle</v>
      </c>
      <c r="W324" s="10">
        <f t="shared" si="300"/>
        <v>0</v>
      </c>
      <c r="X324" s="10">
        <f t="shared" si="301"/>
        <v>0</v>
      </c>
      <c r="Y324" s="10">
        <f t="shared" si="302"/>
        <v>0</v>
      </c>
      <c r="Z324" s="10">
        <f t="shared" si="303"/>
        <v>0</v>
      </c>
      <c r="AA324" s="10">
        <f t="shared" si="304"/>
        <v>0</v>
      </c>
      <c r="AB324" s="10">
        <f t="shared" si="305"/>
        <v>0</v>
      </c>
      <c r="AC324" s="10">
        <f t="shared" si="306"/>
        <v>0</v>
      </c>
      <c r="AD324" s="10">
        <f t="shared" si="307"/>
        <v>0</v>
      </c>
      <c r="AE324" s="10">
        <f t="shared" si="308"/>
        <v>0</v>
      </c>
      <c r="AF324" s="10">
        <f t="shared" si="309"/>
        <v>0</v>
      </c>
      <c r="AG324" s="10">
        <f t="shared" si="310"/>
        <v>0</v>
      </c>
      <c r="AH324" s="10">
        <f t="shared" si="311"/>
        <v>0</v>
      </c>
      <c r="AI324" s="10">
        <f t="shared" si="312"/>
        <v>0</v>
      </c>
      <c r="AJ324" s="10">
        <f t="shared" si="313"/>
        <v>0</v>
      </c>
      <c r="AK324" s="10">
        <f t="shared" si="314"/>
        <v>0</v>
      </c>
      <c r="AL324" s="10">
        <f t="shared" si="315"/>
        <v>0</v>
      </c>
      <c r="AM324" s="10">
        <f t="shared" si="316"/>
        <v>0</v>
      </c>
      <c r="AN324" s="46">
        <f t="shared" si="317"/>
        <v>0</v>
      </c>
      <c r="AO324" s="10">
        <f t="shared" si="318"/>
        <v>0</v>
      </c>
      <c r="AP324" s="10">
        <f t="shared" si="319"/>
        <v>0</v>
      </c>
      <c r="AQ324" s="10">
        <f t="shared" si="320"/>
        <v>0</v>
      </c>
      <c r="AR324" s="10">
        <f t="shared" si="321"/>
        <v>0</v>
      </c>
      <c r="AS324" s="10">
        <f t="shared" si="322"/>
        <v>0</v>
      </c>
      <c r="AT324" s="10">
        <f t="shared" si="323"/>
        <v>0</v>
      </c>
      <c r="AU324" s="10">
        <f t="shared" si="324"/>
        <v>0</v>
      </c>
      <c r="AV324" s="10">
        <f t="shared" si="325"/>
        <v>0</v>
      </c>
      <c r="AW324" s="10">
        <f t="shared" si="326"/>
        <v>0</v>
      </c>
      <c r="AX324" s="10">
        <f t="shared" si="327"/>
        <v>0</v>
      </c>
    </row>
    <row r="325" spans="1:50" x14ac:dyDescent="0.2">
      <c r="A325" s="8">
        <v>11250</v>
      </c>
      <c r="B325" s="89" t="str">
        <f t="shared" si="279"/>
        <v>Broken Hill</v>
      </c>
      <c r="C325" s="9" t="str">
        <f t="shared" si="280"/>
        <v>NetWaste</v>
      </c>
      <c r="D325" s="51" t="str">
        <f t="shared" si="281"/>
        <v>N</v>
      </c>
      <c r="E325" s="10" t="str">
        <f t="shared" si="282"/>
        <v>FSWJO</v>
      </c>
      <c r="F325" s="10">
        <f t="shared" si="283"/>
        <v>17269</v>
      </c>
      <c r="G325" s="10">
        <f t="shared" si="284"/>
        <v>10574</v>
      </c>
      <c r="H325" s="10">
        <f t="shared" si="285"/>
        <v>1.6331567996973708</v>
      </c>
      <c r="I325" s="10">
        <f t="shared" si="286"/>
        <v>170.1</v>
      </c>
      <c r="J325" s="10">
        <f t="shared" si="287"/>
        <v>101.5</v>
      </c>
      <c r="K325" s="10">
        <f t="shared" si="288"/>
        <v>51</v>
      </c>
      <c r="L325" s="10" t="str">
        <f t="shared" si="289"/>
        <v>Y</v>
      </c>
      <c r="M325" s="10">
        <f t="shared" si="290"/>
        <v>9175</v>
      </c>
      <c r="N325" s="10">
        <f t="shared" si="291"/>
        <v>0</v>
      </c>
      <c r="O325" s="10">
        <f t="shared" si="292"/>
        <v>0</v>
      </c>
      <c r="P325" s="10">
        <f t="shared" si="293"/>
        <v>9230</v>
      </c>
      <c r="Q325" s="10">
        <f t="shared" si="294"/>
        <v>0</v>
      </c>
      <c r="R325" s="10" t="str">
        <f t="shared" si="295"/>
        <v>Yes</v>
      </c>
      <c r="S325" s="10" t="str">
        <f t="shared" si="296"/>
        <v>Broken Hill Waste Management Facility, 1 Wills Street Broken Hill</v>
      </c>
      <c r="T325" s="10">
        <f t="shared" si="297"/>
        <v>0</v>
      </c>
      <c r="U325" s="10">
        <f t="shared" si="298"/>
        <v>0</v>
      </c>
      <c r="V325" s="10">
        <f t="shared" si="299"/>
        <v>0</v>
      </c>
      <c r="W325" s="10">
        <f t="shared" si="300"/>
        <v>0</v>
      </c>
      <c r="X325" s="10">
        <f t="shared" si="301"/>
        <v>0</v>
      </c>
      <c r="Y325" s="10">
        <f t="shared" si="302"/>
        <v>0</v>
      </c>
      <c r="Z325" s="10">
        <f t="shared" si="303"/>
        <v>0</v>
      </c>
      <c r="AA325" s="10">
        <f t="shared" si="304"/>
        <v>0</v>
      </c>
      <c r="AB325" s="10">
        <f t="shared" si="305"/>
        <v>0</v>
      </c>
      <c r="AC325" s="10">
        <f t="shared" si="306"/>
        <v>0</v>
      </c>
      <c r="AD325" s="10">
        <f t="shared" si="307"/>
        <v>0</v>
      </c>
      <c r="AE325" s="10">
        <f t="shared" si="308"/>
        <v>0</v>
      </c>
      <c r="AF325" s="10">
        <f t="shared" si="309"/>
        <v>0</v>
      </c>
      <c r="AG325" s="10">
        <f t="shared" si="310"/>
        <v>0</v>
      </c>
      <c r="AH325" s="10">
        <f t="shared" si="311"/>
        <v>0</v>
      </c>
      <c r="AI325" s="10">
        <f t="shared" si="312"/>
        <v>0</v>
      </c>
      <c r="AJ325" s="10">
        <f t="shared" si="313"/>
        <v>0</v>
      </c>
      <c r="AK325" s="10">
        <f t="shared" si="314"/>
        <v>0</v>
      </c>
      <c r="AL325" s="10">
        <f t="shared" si="315"/>
        <v>0</v>
      </c>
      <c r="AM325" s="10">
        <f t="shared" si="316"/>
        <v>0</v>
      </c>
      <c r="AN325" s="46">
        <f t="shared" si="317"/>
        <v>0</v>
      </c>
      <c r="AO325" s="10">
        <f t="shared" si="318"/>
        <v>0</v>
      </c>
      <c r="AP325" s="10">
        <f t="shared" si="319"/>
        <v>0</v>
      </c>
      <c r="AQ325" s="10">
        <f t="shared" si="320"/>
        <v>0</v>
      </c>
      <c r="AR325" s="10">
        <f t="shared" si="321"/>
        <v>0</v>
      </c>
      <c r="AS325" s="10">
        <f t="shared" si="322"/>
        <v>0</v>
      </c>
      <c r="AT325" s="10">
        <f t="shared" si="323"/>
        <v>0</v>
      </c>
      <c r="AU325" s="10">
        <f t="shared" si="324"/>
        <v>0</v>
      </c>
      <c r="AV325" s="10">
        <f t="shared" si="325"/>
        <v>0</v>
      </c>
      <c r="AW325" s="10">
        <f t="shared" si="326"/>
        <v>0</v>
      </c>
      <c r="AX325" s="10">
        <f t="shared" si="327"/>
        <v>0</v>
      </c>
    </row>
    <row r="326" spans="1:50" x14ac:dyDescent="0.2">
      <c r="A326" s="8">
        <v>11350</v>
      </c>
      <c r="B326" s="89" t="str">
        <f t="shared" si="279"/>
        <v>Byron</v>
      </c>
      <c r="C326" s="9" t="str">
        <f t="shared" si="280"/>
        <v>NEWF</v>
      </c>
      <c r="D326" s="51" t="str">
        <f t="shared" si="281"/>
        <v>R</v>
      </c>
      <c r="E326" s="10" t="str">
        <f t="shared" si="282"/>
        <v>NRJO</v>
      </c>
      <c r="F326" s="10">
        <f t="shared" si="283"/>
        <v>35773</v>
      </c>
      <c r="G326" s="10">
        <f t="shared" si="284"/>
        <v>14537</v>
      </c>
      <c r="H326" s="10">
        <f t="shared" si="285"/>
        <v>2.4608241040104559</v>
      </c>
      <c r="I326" s="10">
        <f t="shared" si="286"/>
        <v>565.79999999999995</v>
      </c>
      <c r="J326" s="10">
        <f t="shared" si="287"/>
        <v>63.2</v>
      </c>
      <c r="K326" s="10">
        <f t="shared" si="288"/>
        <v>402</v>
      </c>
      <c r="L326" s="10" t="str">
        <f t="shared" si="289"/>
        <v>Y</v>
      </c>
      <c r="M326" s="10">
        <f t="shared" si="290"/>
        <v>14175</v>
      </c>
      <c r="N326" s="10">
        <f t="shared" si="291"/>
        <v>14109</v>
      </c>
      <c r="O326" s="10">
        <f t="shared" si="292"/>
        <v>0</v>
      </c>
      <c r="P326" s="10">
        <f t="shared" si="293"/>
        <v>10866</v>
      </c>
      <c r="Q326" s="10">
        <f t="shared" si="294"/>
        <v>14537</v>
      </c>
      <c r="R326" s="10" t="str">
        <f t="shared" si="295"/>
        <v>Yes</v>
      </c>
      <c r="S326" s="10" t="str">
        <f t="shared" si="296"/>
        <v>Byron Resource Recovery Centre, 115 The Manse Rd Myocum 2482</v>
      </c>
      <c r="T326" s="10">
        <f t="shared" si="297"/>
        <v>0</v>
      </c>
      <c r="U326" s="10">
        <f t="shared" si="298"/>
        <v>0</v>
      </c>
      <c r="V326" s="10">
        <f t="shared" si="299"/>
        <v>0</v>
      </c>
      <c r="W326" s="10">
        <f t="shared" si="300"/>
        <v>0</v>
      </c>
      <c r="X326" s="10">
        <f t="shared" si="301"/>
        <v>0</v>
      </c>
      <c r="Y326" s="10">
        <f t="shared" si="302"/>
        <v>0</v>
      </c>
      <c r="Z326" s="10">
        <f t="shared" si="303"/>
        <v>0</v>
      </c>
      <c r="AA326" s="10">
        <f t="shared" si="304"/>
        <v>0</v>
      </c>
      <c r="AB326" s="10">
        <f t="shared" si="305"/>
        <v>0</v>
      </c>
      <c r="AC326" s="10">
        <f t="shared" si="306"/>
        <v>0</v>
      </c>
      <c r="AD326" s="10">
        <f t="shared" si="307"/>
        <v>0</v>
      </c>
      <c r="AE326" s="10">
        <f t="shared" si="308"/>
        <v>0</v>
      </c>
      <c r="AF326" s="10">
        <f t="shared" si="309"/>
        <v>0</v>
      </c>
      <c r="AG326" s="10">
        <f t="shared" si="310"/>
        <v>0</v>
      </c>
      <c r="AH326" s="10">
        <f t="shared" si="311"/>
        <v>0</v>
      </c>
      <c r="AI326" s="10">
        <f t="shared" si="312"/>
        <v>0</v>
      </c>
      <c r="AJ326" s="10">
        <f t="shared" si="313"/>
        <v>0</v>
      </c>
      <c r="AK326" s="10">
        <f t="shared" si="314"/>
        <v>0</v>
      </c>
      <c r="AL326" s="10">
        <f t="shared" si="315"/>
        <v>0</v>
      </c>
      <c r="AM326" s="10">
        <f t="shared" si="316"/>
        <v>0</v>
      </c>
      <c r="AN326" s="46">
        <f t="shared" si="317"/>
        <v>0</v>
      </c>
      <c r="AO326" s="10">
        <f t="shared" si="318"/>
        <v>0</v>
      </c>
      <c r="AP326" s="10">
        <f t="shared" si="319"/>
        <v>0</v>
      </c>
      <c r="AQ326" s="10">
        <f t="shared" si="320"/>
        <v>0</v>
      </c>
      <c r="AR326" s="10">
        <f t="shared" si="321"/>
        <v>0</v>
      </c>
      <c r="AS326" s="10">
        <f t="shared" si="322"/>
        <v>0</v>
      </c>
      <c r="AT326" s="10">
        <f t="shared" si="323"/>
        <v>0</v>
      </c>
      <c r="AU326" s="10">
        <f t="shared" si="324"/>
        <v>0</v>
      </c>
      <c r="AV326" s="10">
        <f t="shared" si="325"/>
        <v>0</v>
      </c>
      <c r="AW326" s="10">
        <f t="shared" si="326"/>
        <v>0</v>
      </c>
      <c r="AX326" s="10">
        <f t="shared" si="327"/>
        <v>0</v>
      </c>
    </row>
    <row r="327" spans="1:50" x14ac:dyDescent="0.2">
      <c r="A327" s="8">
        <v>11400</v>
      </c>
      <c r="B327" s="89" t="str">
        <f t="shared" si="279"/>
        <v>Cabonne</v>
      </c>
      <c r="C327" s="9" t="str">
        <f t="shared" si="280"/>
        <v>NetWaste</v>
      </c>
      <c r="D327" s="51" t="str">
        <f t="shared" si="281"/>
        <v>N</v>
      </c>
      <c r="E327" s="10" t="str">
        <f t="shared" si="282"/>
        <v>CNJO</v>
      </c>
      <c r="F327" s="10">
        <f t="shared" si="283"/>
        <v>13677</v>
      </c>
      <c r="G327" s="10">
        <f t="shared" si="284"/>
        <v>7436</v>
      </c>
      <c r="H327" s="10">
        <f t="shared" si="285"/>
        <v>1.8392953200645508</v>
      </c>
      <c r="I327" s="10">
        <f t="shared" si="286"/>
        <v>6022.3</v>
      </c>
      <c r="J327" s="10">
        <f t="shared" si="287"/>
        <v>2.2999999999999998</v>
      </c>
      <c r="K327" s="10">
        <f t="shared" si="288"/>
        <v>397.4</v>
      </c>
      <c r="L327" s="10" t="str">
        <f t="shared" si="289"/>
        <v>Y</v>
      </c>
      <c r="M327" s="10">
        <f t="shared" si="290"/>
        <v>3691</v>
      </c>
      <c r="N327" s="10">
        <f t="shared" si="291"/>
        <v>3691</v>
      </c>
      <c r="O327" s="10">
        <f t="shared" si="292"/>
        <v>0</v>
      </c>
      <c r="P327" s="10">
        <f t="shared" si="293"/>
        <v>0</v>
      </c>
      <c r="Q327" s="10">
        <f t="shared" si="294"/>
        <v>7436</v>
      </c>
      <c r="R327" s="10" t="str">
        <f t="shared" si="295"/>
        <v>Yes</v>
      </c>
      <c r="S327" s="10" t="str">
        <f t="shared" si="296"/>
        <v>Canowindra - Nangar Road, Canowindra NSW 2804</v>
      </c>
      <c r="T327" s="10" t="str">
        <f t="shared" si="297"/>
        <v>Cumnock - Baldry Road, Cumnock NSW 2867</v>
      </c>
      <c r="U327" s="10" t="str">
        <f t="shared" si="298"/>
        <v>Eugowra - The Escort Way, Eugowra NSW 2806</v>
      </c>
      <c r="V327" s="10" t="str">
        <f t="shared" si="299"/>
        <v>Manildra - Yellowbox Road, Manildra NSW 2865</v>
      </c>
      <c r="W327" s="10">
        <f t="shared" si="300"/>
        <v>0</v>
      </c>
      <c r="X327" s="10">
        <f t="shared" si="301"/>
        <v>0</v>
      </c>
      <c r="Y327" s="10">
        <f t="shared" si="302"/>
        <v>0</v>
      </c>
      <c r="Z327" s="10">
        <f t="shared" si="303"/>
        <v>0</v>
      </c>
      <c r="AA327" s="10">
        <f t="shared" si="304"/>
        <v>0</v>
      </c>
      <c r="AB327" s="10">
        <f t="shared" si="305"/>
        <v>0</v>
      </c>
      <c r="AC327" s="10">
        <f t="shared" si="306"/>
        <v>0</v>
      </c>
      <c r="AD327" s="10">
        <f t="shared" si="307"/>
        <v>0</v>
      </c>
      <c r="AE327" s="10">
        <f t="shared" si="308"/>
        <v>0</v>
      </c>
      <c r="AF327" s="10">
        <f t="shared" si="309"/>
        <v>0</v>
      </c>
      <c r="AG327" s="10">
        <f t="shared" si="310"/>
        <v>0</v>
      </c>
      <c r="AH327" s="10">
        <f t="shared" si="311"/>
        <v>0</v>
      </c>
      <c r="AI327" s="10">
        <f t="shared" si="312"/>
        <v>0</v>
      </c>
      <c r="AJ327" s="10">
        <f t="shared" si="313"/>
        <v>0</v>
      </c>
      <c r="AK327" s="10">
        <f t="shared" si="314"/>
        <v>0</v>
      </c>
      <c r="AL327" s="10">
        <f t="shared" si="315"/>
        <v>0</v>
      </c>
      <c r="AM327" s="10">
        <f t="shared" si="316"/>
        <v>0</v>
      </c>
      <c r="AN327" s="46">
        <f t="shared" si="317"/>
        <v>0</v>
      </c>
      <c r="AO327" s="10">
        <f t="shared" si="318"/>
        <v>0</v>
      </c>
      <c r="AP327" s="10">
        <f t="shared" si="319"/>
        <v>0</v>
      </c>
      <c r="AQ327" s="10">
        <f t="shared" si="320"/>
        <v>0</v>
      </c>
      <c r="AR327" s="10">
        <f t="shared" si="321"/>
        <v>0</v>
      </c>
      <c r="AS327" s="10">
        <f t="shared" si="322"/>
        <v>0</v>
      </c>
      <c r="AT327" s="10">
        <f t="shared" si="323"/>
        <v>0</v>
      </c>
      <c r="AU327" s="10">
        <f t="shared" si="324"/>
        <v>0</v>
      </c>
      <c r="AV327" s="10">
        <f t="shared" si="325"/>
        <v>0</v>
      </c>
      <c r="AW327" s="10">
        <f t="shared" si="326"/>
        <v>0</v>
      </c>
      <c r="AX327" s="10">
        <f t="shared" si="327"/>
        <v>0</v>
      </c>
    </row>
    <row r="328" spans="1:50" x14ac:dyDescent="0.2">
      <c r="A328" s="8">
        <v>11600</v>
      </c>
      <c r="B328" s="89" t="str">
        <f t="shared" si="279"/>
        <v>Carrathool</v>
      </c>
      <c r="C328" s="9" t="str">
        <f t="shared" si="280"/>
        <v>RAMJO Riverina</v>
      </c>
      <c r="D328" s="51" t="str">
        <f t="shared" si="281"/>
        <v>N</v>
      </c>
      <c r="E328" s="10" t="str">
        <f t="shared" si="282"/>
        <v>RMJO</v>
      </c>
      <c r="F328" s="10">
        <f t="shared" si="283"/>
        <v>2796</v>
      </c>
      <c r="G328" s="10">
        <f t="shared" si="284"/>
        <v>1343</v>
      </c>
      <c r="H328" s="10">
        <f t="shared" si="285"/>
        <v>2.0819061801935965</v>
      </c>
      <c r="I328" s="10">
        <f t="shared" si="286"/>
        <v>18934.5</v>
      </c>
      <c r="J328" s="10">
        <f t="shared" si="287"/>
        <v>0.1</v>
      </c>
      <c r="K328" s="10">
        <f t="shared" si="288"/>
        <v>203</v>
      </c>
      <c r="L328" s="10" t="str">
        <f t="shared" si="289"/>
        <v>Y</v>
      </c>
      <c r="M328" s="10">
        <f t="shared" si="290"/>
        <v>608</v>
      </c>
      <c r="N328" s="10">
        <f t="shared" si="291"/>
        <v>0</v>
      </c>
      <c r="O328" s="10">
        <f t="shared" si="292"/>
        <v>0</v>
      </c>
      <c r="P328" s="10">
        <f t="shared" si="293"/>
        <v>0</v>
      </c>
      <c r="Q328" s="10">
        <f t="shared" si="294"/>
        <v>0</v>
      </c>
      <c r="R328" s="10" t="str">
        <f t="shared" si="295"/>
        <v>No</v>
      </c>
      <c r="S328" s="10">
        <f t="shared" si="296"/>
        <v>0</v>
      </c>
      <c r="T328" s="10">
        <f t="shared" si="297"/>
        <v>0</v>
      </c>
      <c r="U328" s="10">
        <f t="shared" si="298"/>
        <v>0</v>
      </c>
      <c r="V328" s="10">
        <f t="shared" si="299"/>
        <v>0</v>
      </c>
      <c r="W328" s="10">
        <f t="shared" si="300"/>
        <v>0</v>
      </c>
      <c r="X328" s="10">
        <f t="shared" si="301"/>
        <v>0</v>
      </c>
      <c r="Y328" s="10">
        <f t="shared" si="302"/>
        <v>0</v>
      </c>
      <c r="Z328" s="10">
        <f t="shared" si="303"/>
        <v>0</v>
      </c>
      <c r="AA328" s="10">
        <f t="shared" si="304"/>
        <v>0</v>
      </c>
      <c r="AB328" s="10">
        <f t="shared" si="305"/>
        <v>0</v>
      </c>
      <c r="AC328" s="10">
        <f t="shared" si="306"/>
        <v>0</v>
      </c>
      <c r="AD328" s="10">
        <f t="shared" si="307"/>
        <v>0</v>
      </c>
      <c r="AE328" s="10">
        <f t="shared" si="308"/>
        <v>0</v>
      </c>
      <c r="AF328" s="10">
        <f t="shared" si="309"/>
        <v>0</v>
      </c>
      <c r="AG328" s="10">
        <f t="shared" si="310"/>
        <v>0</v>
      </c>
      <c r="AH328" s="10">
        <f t="shared" si="311"/>
        <v>0</v>
      </c>
      <c r="AI328" s="10">
        <f t="shared" si="312"/>
        <v>0</v>
      </c>
      <c r="AJ328" s="10">
        <f t="shared" si="313"/>
        <v>0</v>
      </c>
      <c r="AK328" s="10">
        <f t="shared" si="314"/>
        <v>0</v>
      </c>
      <c r="AL328" s="10">
        <f t="shared" si="315"/>
        <v>0</v>
      </c>
      <c r="AM328" s="10">
        <f t="shared" si="316"/>
        <v>0</v>
      </c>
      <c r="AN328" s="46">
        <f t="shared" si="317"/>
        <v>0</v>
      </c>
      <c r="AO328" s="10">
        <f t="shared" si="318"/>
        <v>0</v>
      </c>
      <c r="AP328" s="10">
        <f t="shared" si="319"/>
        <v>0</v>
      </c>
      <c r="AQ328" s="10">
        <f t="shared" si="320"/>
        <v>0</v>
      </c>
      <c r="AR328" s="10">
        <f t="shared" si="321"/>
        <v>0</v>
      </c>
      <c r="AS328" s="10">
        <f t="shared" si="322"/>
        <v>0</v>
      </c>
      <c r="AT328" s="10">
        <f t="shared" si="323"/>
        <v>0</v>
      </c>
      <c r="AU328" s="10">
        <f t="shared" si="324"/>
        <v>0</v>
      </c>
      <c r="AV328" s="10">
        <f t="shared" si="325"/>
        <v>0</v>
      </c>
      <c r="AW328" s="10">
        <f t="shared" si="326"/>
        <v>0</v>
      </c>
      <c r="AX328" s="10">
        <f t="shared" si="327"/>
        <v>0</v>
      </c>
    </row>
    <row r="329" spans="1:50" x14ac:dyDescent="0.2">
      <c r="A329" s="8">
        <v>11700</v>
      </c>
      <c r="B329" s="89" t="str">
        <f t="shared" si="279"/>
        <v>Central Darling</v>
      </c>
      <c r="C329" s="9" t="str">
        <f t="shared" si="280"/>
        <v>NetWaste</v>
      </c>
      <c r="D329" s="51" t="str">
        <f t="shared" si="281"/>
        <v>N</v>
      </c>
      <c r="E329" s="10" t="str">
        <f t="shared" si="282"/>
        <v>FSWJO</v>
      </c>
      <c r="F329" s="10">
        <f t="shared" si="283"/>
        <v>1829</v>
      </c>
      <c r="G329" s="10">
        <f t="shared" si="284"/>
        <v>1953</v>
      </c>
      <c r="H329" s="10">
        <f t="shared" si="285"/>
        <v>0.93650793650793651</v>
      </c>
      <c r="I329" s="10">
        <f t="shared" si="286"/>
        <v>53492.2</v>
      </c>
      <c r="J329" s="10">
        <f t="shared" si="287"/>
        <v>0</v>
      </c>
      <c r="K329" s="10">
        <f t="shared" si="288"/>
        <v>617</v>
      </c>
      <c r="L329" s="10" t="str">
        <f t="shared" si="289"/>
        <v>Y</v>
      </c>
      <c r="M329" s="10">
        <f t="shared" si="290"/>
        <v>719</v>
      </c>
      <c r="N329" s="10">
        <f t="shared" si="291"/>
        <v>0</v>
      </c>
      <c r="O329" s="10">
        <f t="shared" si="292"/>
        <v>0</v>
      </c>
      <c r="P329" s="10">
        <f t="shared" si="293"/>
        <v>0</v>
      </c>
      <c r="Q329" s="10">
        <f t="shared" si="294"/>
        <v>0</v>
      </c>
      <c r="R329" s="10" t="str">
        <f t="shared" si="295"/>
        <v>Yes</v>
      </c>
      <c r="S329" s="10" t="str">
        <f t="shared" si="296"/>
        <v>Tilpa landfill</v>
      </c>
      <c r="T329" s="10" t="str">
        <f t="shared" si="297"/>
        <v>Wilcannia landfill</v>
      </c>
      <c r="U329" s="10" t="str">
        <f t="shared" si="298"/>
        <v>Menindee landfill</v>
      </c>
      <c r="V329" s="10" t="str">
        <f t="shared" si="299"/>
        <v>Ivanhoe landfill</v>
      </c>
      <c r="W329" s="10" t="str">
        <f t="shared" si="300"/>
        <v>Sunset Strip landfill</v>
      </c>
      <c r="X329" s="10" t="str">
        <f t="shared" si="301"/>
        <v>White Cliffs landfill</v>
      </c>
      <c r="Y329" s="10">
        <f t="shared" si="302"/>
        <v>0</v>
      </c>
      <c r="Z329" s="10">
        <f t="shared" si="303"/>
        <v>0</v>
      </c>
      <c r="AA329" s="10">
        <f t="shared" si="304"/>
        <v>0</v>
      </c>
      <c r="AB329" s="10">
        <f t="shared" si="305"/>
        <v>0</v>
      </c>
      <c r="AC329" s="10">
        <f t="shared" si="306"/>
        <v>0</v>
      </c>
      <c r="AD329" s="10">
        <f t="shared" si="307"/>
        <v>0</v>
      </c>
      <c r="AE329" s="10">
        <f t="shared" si="308"/>
        <v>0</v>
      </c>
      <c r="AF329" s="10">
        <f t="shared" si="309"/>
        <v>0</v>
      </c>
      <c r="AG329" s="10">
        <f t="shared" si="310"/>
        <v>0</v>
      </c>
      <c r="AH329" s="10">
        <f t="shared" si="311"/>
        <v>0</v>
      </c>
      <c r="AI329" s="10">
        <f t="shared" si="312"/>
        <v>0</v>
      </c>
      <c r="AJ329" s="10">
        <f t="shared" si="313"/>
        <v>0</v>
      </c>
      <c r="AK329" s="10">
        <f t="shared" si="314"/>
        <v>0</v>
      </c>
      <c r="AL329" s="10">
        <f t="shared" si="315"/>
        <v>0</v>
      </c>
      <c r="AM329" s="10">
        <f t="shared" si="316"/>
        <v>0</v>
      </c>
      <c r="AN329" s="46">
        <f t="shared" si="317"/>
        <v>0</v>
      </c>
      <c r="AO329" s="10">
        <f t="shared" si="318"/>
        <v>0</v>
      </c>
      <c r="AP329" s="10">
        <f t="shared" si="319"/>
        <v>0</v>
      </c>
      <c r="AQ329" s="10">
        <f t="shared" si="320"/>
        <v>0</v>
      </c>
      <c r="AR329" s="10">
        <f t="shared" si="321"/>
        <v>0</v>
      </c>
      <c r="AS329" s="10">
        <f t="shared" si="322"/>
        <v>0</v>
      </c>
      <c r="AT329" s="10">
        <f t="shared" si="323"/>
        <v>0</v>
      </c>
      <c r="AU329" s="10">
        <f t="shared" si="324"/>
        <v>0</v>
      </c>
      <c r="AV329" s="10">
        <f t="shared" si="325"/>
        <v>0</v>
      </c>
      <c r="AW329" s="10">
        <f t="shared" si="326"/>
        <v>0</v>
      </c>
      <c r="AX329" s="10">
        <f t="shared" si="327"/>
        <v>0</v>
      </c>
    </row>
    <row r="330" spans="1:50" x14ac:dyDescent="0.2">
      <c r="A330" s="8">
        <v>11730</v>
      </c>
      <c r="B330" s="89" t="str">
        <f t="shared" si="279"/>
        <v>Clarence Valley</v>
      </c>
      <c r="C330" s="9" t="str">
        <f t="shared" si="280"/>
        <v>NEWF</v>
      </c>
      <c r="D330" s="51" t="str">
        <f t="shared" si="281"/>
        <v>R</v>
      </c>
      <c r="E330" s="10">
        <f t="shared" si="282"/>
        <v>0</v>
      </c>
      <c r="F330" s="10">
        <f t="shared" si="283"/>
        <v>51730</v>
      </c>
      <c r="G330" s="10">
        <f t="shared" si="284"/>
        <v>26792</v>
      </c>
      <c r="H330" s="10">
        <f t="shared" si="285"/>
        <v>1.9308002388772767</v>
      </c>
      <c r="I330" s="10">
        <f t="shared" si="286"/>
        <v>10428.700000000001</v>
      </c>
      <c r="J330" s="10">
        <f t="shared" si="287"/>
        <v>5</v>
      </c>
      <c r="K330" s="10">
        <f t="shared" si="288"/>
        <v>344.5</v>
      </c>
      <c r="L330" s="10" t="str">
        <f t="shared" si="289"/>
        <v>Y</v>
      </c>
      <c r="M330" s="10">
        <f t="shared" si="290"/>
        <v>22713</v>
      </c>
      <c r="N330" s="10">
        <f t="shared" si="291"/>
        <v>22282</v>
      </c>
      <c r="O330" s="10">
        <f t="shared" si="292"/>
        <v>0</v>
      </c>
      <c r="P330" s="10">
        <f t="shared" si="293"/>
        <v>18212</v>
      </c>
      <c r="Q330" s="10">
        <f t="shared" si="294"/>
        <v>26792</v>
      </c>
      <c r="R330" s="10" t="str">
        <f t="shared" si="295"/>
        <v>Yes</v>
      </c>
      <c r="S330" s="10" t="str">
        <f t="shared" si="296"/>
        <v>Grafton Waste Transfer Station</v>
      </c>
      <c r="T330" s="10" t="str">
        <f t="shared" si="297"/>
        <v>Maclean Waste Transfer Station</v>
      </c>
      <c r="U330" s="10" t="str">
        <f t="shared" si="298"/>
        <v>Tyringham Waste Transfer Station</v>
      </c>
      <c r="V330" s="10" t="str">
        <f t="shared" si="299"/>
        <v>Baryulgil Waste Transfer Station</v>
      </c>
      <c r="W330" s="10" t="str">
        <f t="shared" si="300"/>
        <v>Glenreagh Waste Transfer Station</v>
      </c>
      <c r="X330" s="10" t="str">
        <f t="shared" si="301"/>
        <v>Grafton Landfill</v>
      </c>
      <c r="Y330" s="10" t="str">
        <f t="shared" si="302"/>
        <v>Copmanhurst, Iluka and Mini Water Waste Transfer Stations</v>
      </c>
      <c r="Z330" s="10">
        <f t="shared" si="303"/>
        <v>0</v>
      </c>
      <c r="AA330" s="10">
        <f t="shared" si="304"/>
        <v>0</v>
      </c>
      <c r="AB330" s="10">
        <f t="shared" si="305"/>
        <v>0</v>
      </c>
      <c r="AC330" s="10">
        <f t="shared" si="306"/>
        <v>0</v>
      </c>
      <c r="AD330" s="10">
        <f t="shared" si="307"/>
        <v>0</v>
      </c>
      <c r="AE330" s="10">
        <f t="shared" si="308"/>
        <v>0</v>
      </c>
      <c r="AF330" s="10">
        <f t="shared" si="309"/>
        <v>0</v>
      </c>
      <c r="AG330" s="10">
        <f t="shared" si="310"/>
        <v>0</v>
      </c>
      <c r="AH330" s="10">
        <f t="shared" si="311"/>
        <v>0</v>
      </c>
      <c r="AI330" s="10">
        <f t="shared" si="312"/>
        <v>0</v>
      </c>
      <c r="AJ330" s="10">
        <f t="shared" si="313"/>
        <v>0</v>
      </c>
      <c r="AK330" s="10">
        <f t="shared" si="314"/>
        <v>0</v>
      </c>
      <c r="AL330" s="10">
        <f t="shared" si="315"/>
        <v>0</v>
      </c>
      <c r="AM330" s="10">
        <f t="shared" si="316"/>
        <v>0</v>
      </c>
      <c r="AN330" s="46">
        <f t="shared" si="317"/>
        <v>0</v>
      </c>
      <c r="AO330" s="10">
        <f t="shared" si="318"/>
        <v>0</v>
      </c>
      <c r="AP330" s="10">
        <f t="shared" si="319"/>
        <v>0</v>
      </c>
      <c r="AQ330" s="10">
        <f t="shared" si="320"/>
        <v>0</v>
      </c>
      <c r="AR330" s="10">
        <f t="shared" si="321"/>
        <v>0</v>
      </c>
      <c r="AS330" s="10">
        <f t="shared" si="322"/>
        <v>0</v>
      </c>
      <c r="AT330" s="10">
        <f t="shared" si="323"/>
        <v>0</v>
      </c>
      <c r="AU330" s="10">
        <f t="shared" si="324"/>
        <v>0</v>
      </c>
      <c r="AV330" s="10">
        <f t="shared" si="325"/>
        <v>0</v>
      </c>
      <c r="AW330" s="10">
        <f t="shared" si="326"/>
        <v>0</v>
      </c>
      <c r="AX330" s="10">
        <f t="shared" si="327"/>
        <v>0</v>
      </c>
    </row>
    <row r="331" spans="1:50" x14ac:dyDescent="0.2">
      <c r="A331" s="8">
        <v>11750</v>
      </c>
      <c r="B331" s="89" t="str">
        <f t="shared" si="279"/>
        <v>Cobar</v>
      </c>
      <c r="C331" s="9" t="str">
        <f t="shared" si="280"/>
        <v>NetWaste</v>
      </c>
      <c r="D331" s="51" t="str">
        <f t="shared" si="281"/>
        <v>N</v>
      </c>
      <c r="E331" s="10" t="str">
        <f t="shared" si="282"/>
        <v>FNWJO</v>
      </c>
      <c r="F331" s="10">
        <f t="shared" si="283"/>
        <v>4417</v>
      </c>
      <c r="G331" s="10">
        <f t="shared" si="284"/>
        <v>2887</v>
      </c>
      <c r="H331" s="10">
        <f t="shared" si="285"/>
        <v>1.5299618981641843</v>
      </c>
      <c r="I331" s="10">
        <f t="shared" si="286"/>
        <v>45575.4</v>
      </c>
      <c r="J331" s="10">
        <f t="shared" si="287"/>
        <v>0.1</v>
      </c>
      <c r="K331" s="10">
        <f t="shared" si="288"/>
        <v>252</v>
      </c>
      <c r="L331" s="10" t="str">
        <f t="shared" si="289"/>
        <v>Y</v>
      </c>
      <c r="M331" s="10">
        <f t="shared" si="290"/>
        <v>1763</v>
      </c>
      <c r="N331" s="10">
        <f t="shared" si="291"/>
        <v>0</v>
      </c>
      <c r="O331" s="10">
        <f t="shared" si="292"/>
        <v>0</v>
      </c>
      <c r="P331" s="10">
        <f t="shared" si="293"/>
        <v>0</v>
      </c>
      <c r="Q331" s="10">
        <f t="shared" si="294"/>
        <v>0</v>
      </c>
      <c r="R331" s="10" t="str">
        <f t="shared" si="295"/>
        <v>Yes</v>
      </c>
      <c r="S331" s="10" t="str">
        <f t="shared" si="296"/>
        <v xml:space="preserve">Cobar Landfill </v>
      </c>
      <c r="T331" s="10" t="str">
        <f t="shared" si="297"/>
        <v>Canbeligo Transfer Station</v>
      </c>
      <c r="U331" s="10" t="str">
        <f t="shared" si="298"/>
        <v xml:space="preserve">Nymagee Landfill </v>
      </c>
      <c r="V331" s="10" t="str">
        <f t="shared" si="299"/>
        <v xml:space="preserve">Euabalong Landfill </v>
      </c>
      <c r="W331" s="10" t="str">
        <f t="shared" si="300"/>
        <v xml:space="preserve">Euabalong West Landfill </v>
      </c>
      <c r="X331" s="10" t="str">
        <f t="shared" si="301"/>
        <v>Mount Hope</v>
      </c>
      <c r="Y331" s="10">
        <f t="shared" si="302"/>
        <v>0</v>
      </c>
      <c r="Z331" s="10">
        <f t="shared" si="303"/>
        <v>0</v>
      </c>
      <c r="AA331" s="10">
        <f t="shared" si="304"/>
        <v>0</v>
      </c>
      <c r="AB331" s="10">
        <f t="shared" si="305"/>
        <v>0</v>
      </c>
      <c r="AC331" s="10">
        <f t="shared" si="306"/>
        <v>0</v>
      </c>
      <c r="AD331" s="10">
        <f t="shared" si="307"/>
        <v>0</v>
      </c>
      <c r="AE331" s="10">
        <f t="shared" si="308"/>
        <v>0</v>
      </c>
      <c r="AF331" s="10">
        <f t="shared" si="309"/>
        <v>0</v>
      </c>
      <c r="AG331" s="10">
        <f t="shared" si="310"/>
        <v>0</v>
      </c>
      <c r="AH331" s="10">
        <f t="shared" si="311"/>
        <v>0</v>
      </c>
      <c r="AI331" s="10">
        <f t="shared" si="312"/>
        <v>0</v>
      </c>
      <c r="AJ331" s="10">
        <f t="shared" si="313"/>
        <v>0</v>
      </c>
      <c r="AK331" s="10">
        <f t="shared" si="314"/>
        <v>0</v>
      </c>
      <c r="AL331" s="10">
        <f t="shared" si="315"/>
        <v>0</v>
      </c>
      <c r="AM331" s="10">
        <f t="shared" si="316"/>
        <v>0</v>
      </c>
      <c r="AN331" s="46">
        <f t="shared" si="317"/>
        <v>0</v>
      </c>
      <c r="AO331" s="10">
        <f t="shared" si="318"/>
        <v>0</v>
      </c>
      <c r="AP331" s="10">
        <f t="shared" si="319"/>
        <v>0</v>
      </c>
      <c r="AQ331" s="10">
        <f t="shared" si="320"/>
        <v>0</v>
      </c>
      <c r="AR331" s="10">
        <f t="shared" si="321"/>
        <v>0</v>
      </c>
      <c r="AS331" s="10">
        <f t="shared" si="322"/>
        <v>0</v>
      </c>
      <c r="AT331" s="10">
        <f t="shared" si="323"/>
        <v>0</v>
      </c>
      <c r="AU331" s="10">
        <f t="shared" si="324"/>
        <v>0</v>
      </c>
      <c r="AV331" s="10">
        <f t="shared" si="325"/>
        <v>0</v>
      </c>
      <c r="AW331" s="10">
        <f t="shared" si="326"/>
        <v>0</v>
      </c>
      <c r="AX331" s="10">
        <f t="shared" si="327"/>
        <v>0</v>
      </c>
    </row>
    <row r="332" spans="1:50" x14ac:dyDescent="0.2">
      <c r="A332" s="8">
        <v>11800</v>
      </c>
      <c r="B332" s="89" t="str">
        <f t="shared" si="279"/>
        <v>Coffs Harbour</v>
      </c>
      <c r="C332" s="9" t="str">
        <f t="shared" si="280"/>
        <v>MidWaste</v>
      </c>
      <c r="D332" s="51" t="str">
        <f t="shared" si="281"/>
        <v>R</v>
      </c>
      <c r="E332" s="10">
        <f t="shared" si="282"/>
        <v>0</v>
      </c>
      <c r="F332" s="10">
        <f t="shared" si="283"/>
        <v>77648</v>
      </c>
      <c r="G332" s="10">
        <f t="shared" si="284"/>
        <v>34645</v>
      </c>
      <c r="H332" s="10">
        <f t="shared" si="285"/>
        <v>2.2412469331793909</v>
      </c>
      <c r="I332" s="10">
        <f t="shared" si="286"/>
        <v>1173.7</v>
      </c>
      <c r="J332" s="10">
        <f t="shared" si="287"/>
        <v>66.2</v>
      </c>
      <c r="K332" s="10">
        <f t="shared" si="288"/>
        <v>695</v>
      </c>
      <c r="L332" s="10" t="str">
        <f t="shared" si="289"/>
        <v>Y</v>
      </c>
      <c r="M332" s="10">
        <f t="shared" si="290"/>
        <v>31040</v>
      </c>
      <c r="N332" s="10">
        <f t="shared" si="291"/>
        <v>28759</v>
      </c>
      <c r="O332" s="10">
        <f t="shared" si="292"/>
        <v>0</v>
      </c>
      <c r="P332" s="10">
        <f t="shared" si="293"/>
        <v>31030</v>
      </c>
      <c r="Q332" s="10">
        <f t="shared" si="294"/>
        <v>34645</v>
      </c>
      <c r="R332" s="10" t="str">
        <f t="shared" si="295"/>
        <v>Yes</v>
      </c>
      <c r="S332" s="10" t="str">
        <f t="shared" si="296"/>
        <v>Englands Road Waste Management Facility</v>
      </c>
      <c r="T332" s="10" t="str">
        <f t="shared" si="297"/>
        <v>Lowanna Transfer Station</v>
      </c>
      <c r="U332" s="10" t="str">
        <f t="shared" si="298"/>
        <v>Coramba Transfer Station</v>
      </c>
      <c r="V332" s="10" t="str">
        <f t="shared" si="299"/>
        <v>Woolgoolga Transfer Station</v>
      </c>
      <c r="W332" s="10">
        <f t="shared" si="300"/>
        <v>0</v>
      </c>
      <c r="X332" s="10">
        <f t="shared" si="301"/>
        <v>0</v>
      </c>
      <c r="Y332" s="10">
        <f t="shared" si="302"/>
        <v>0</v>
      </c>
      <c r="Z332" s="10">
        <f t="shared" si="303"/>
        <v>0</v>
      </c>
      <c r="AA332" s="10">
        <f t="shared" si="304"/>
        <v>0</v>
      </c>
      <c r="AB332" s="10">
        <f t="shared" si="305"/>
        <v>0</v>
      </c>
      <c r="AC332" s="10">
        <f t="shared" si="306"/>
        <v>0</v>
      </c>
      <c r="AD332" s="10">
        <f t="shared" si="307"/>
        <v>0</v>
      </c>
      <c r="AE332" s="10">
        <f t="shared" si="308"/>
        <v>0</v>
      </c>
      <c r="AF332" s="10">
        <f t="shared" si="309"/>
        <v>0</v>
      </c>
      <c r="AG332" s="10">
        <f t="shared" si="310"/>
        <v>0</v>
      </c>
      <c r="AH332" s="10">
        <f t="shared" si="311"/>
        <v>0</v>
      </c>
      <c r="AI332" s="10">
        <f t="shared" si="312"/>
        <v>0</v>
      </c>
      <c r="AJ332" s="10">
        <f t="shared" si="313"/>
        <v>0</v>
      </c>
      <c r="AK332" s="10">
        <f t="shared" si="314"/>
        <v>0</v>
      </c>
      <c r="AL332" s="10">
        <f t="shared" si="315"/>
        <v>0</v>
      </c>
      <c r="AM332" s="10">
        <f t="shared" si="316"/>
        <v>0</v>
      </c>
      <c r="AN332" s="46">
        <f t="shared" si="317"/>
        <v>0</v>
      </c>
      <c r="AO332" s="10">
        <f t="shared" si="318"/>
        <v>0</v>
      </c>
      <c r="AP332" s="10">
        <f t="shared" si="319"/>
        <v>0</v>
      </c>
      <c r="AQ332" s="10">
        <f t="shared" si="320"/>
        <v>0</v>
      </c>
      <c r="AR332" s="10">
        <f t="shared" si="321"/>
        <v>0</v>
      </c>
      <c r="AS332" s="10">
        <f t="shared" si="322"/>
        <v>0</v>
      </c>
      <c r="AT332" s="10">
        <f t="shared" si="323"/>
        <v>0</v>
      </c>
      <c r="AU332" s="10">
        <f t="shared" si="324"/>
        <v>0</v>
      </c>
      <c r="AV332" s="10">
        <f t="shared" si="325"/>
        <v>0</v>
      </c>
      <c r="AW332" s="10">
        <f t="shared" si="326"/>
        <v>0</v>
      </c>
      <c r="AX332" s="10">
        <f t="shared" si="327"/>
        <v>0</v>
      </c>
    </row>
    <row r="333" spans="1:50" x14ac:dyDescent="0.2">
      <c r="A333" s="8">
        <v>12000</v>
      </c>
      <c r="B333" s="89" t="str">
        <f t="shared" si="279"/>
        <v>Coolamon</v>
      </c>
      <c r="C333" s="9" t="str">
        <f t="shared" si="280"/>
        <v>REROC</v>
      </c>
      <c r="D333" s="51" t="str">
        <f t="shared" si="281"/>
        <v>N</v>
      </c>
      <c r="E333" s="10" t="str">
        <f t="shared" si="282"/>
        <v>RJO</v>
      </c>
      <c r="F333" s="10">
        <f t="shared" si="283"/>
        <v>4291</v>
      </c>
      <c r="G333" s="10">
        <f t="shared" si="284"/>
        <v>3046</v>
      </c>
      <c r="H333" s="10">
        <f t="shared" si="285"/>
        <v>1.4087327642810243</v>
      </c>
      <c r="I333" s="10">
        <f t="shared" si="286"/>
        <v>2430.9</v>
      </c>
      <c r="J333" s="10">
        <f t="shared" si="287"/>
        <v>1.8</v>
      </c>
      <c r="K333" s="10">
        <f t="shared" si="288"/>
        <v>295</v>
      </c>
      <c r="L333" s="10" t="str">
        <f t="shared" si="289"/>
        <v>Y</v>
      </c>
      <c r="M333" s="10">
        <f t="shared" si="290"/>
        <v>1746</v>
      </c>
      <c r="N333" s="10">
        <f t="shared" si="291"/>
        <v>1721</v>
      </c>
      <c r="O333" s="10">
        <f t="shared" si="292"/>
        <v>0</v>
      </c>
      <c r="P333" s="10">
        <f t="shared" si="293"/>
        <v>1266</v>
      </c>
      <c r="Q333" s="10">
        <f t="shared" si="294"/>
        <v>3046</v>
      </c>
      <c r="R333" s="10" t="str">
        <f t="shared" si="295"/>
        <v>No</v>
      </c>
      <c r="S333" s="10" t="str">
        <f t="shared" si="296"/>
        <v>Ardlethan Landfill - Newell Highway, Ardlethan</v>
      </c>
      <c r="T333" s="10" t="str">
        <f t="shared" si="297"/>
        <v>Coolamon Landfill - 102 Dyces Lane, Coolamon</v>
      </c>
      <c r="U333" s="10" t="str">
        <f t="shared" si="298"/>
        <v>Ganmain Landfill - Grave Street, Ganmain</v>
      </c>
      <c r="V333" s="10" t="str">
        <f t="shared" si="299"/>
        <v>Marrar Landfill - Easticks Lane, Coolamon</v>
      </c>
      <c r="W333" s="10">
        <f t="shared" si="300"/>
        <v>0</v>
      </c>
      <c r="X333" s="10">
        <f t="shared" si="301"/>
        <v>0</v>
      </c>
      <c r="Y333" s="10">
        <f t="shared" si="302"/>
        <v>0</v>
      </c>
      <c r="Z333" s="10">
        <f t="shared" si="303"/>
        <v>0</v>
      </c>
      <c r="AA333" s="10">
        <f t="shared" si="304"/>
        <v>0</v>
      </c>
      <c r="AB333" s="10">
        <f t="shared" si="305"/>
        <v>0</v>
      </c>
      <c r="AC333" s="10">
        <f t="shared" si="306"/>
        <v>0</v>
      </c>
      <c r="AD333" s="10">
        <f t="shared" si="307"/>
        <v>0</v>
      </c>
      <c r="AE333" s="10">
        <f t="shared" si="308"/>
        <v>0</v>
      </c>
      <c r="AF333" s="10">
        <f t="shared" si="309"/>
        <v>0</v>
      </c>
      <c r="AG333" s="10">
        <f t="shared" si="310"/>
        <v>0</v>
      </c>
      <c r="AH333" s="10">
        <f t="shared" si="311"/>
        <v>0</v>
      </c>
      <c r="AI333" s="10">
        <f t="shared" si="312"/>
        <v>0</v>
      </c>
      <c r="AJ333" s="10">
        <f t="shared" si="313"/>
        <v>0</v>
      </c>
      <c r="AK333" s="10">
        <f t="shared" si="314"/>
        <v>0</v>
      </c>
      <c r="AL333" s="10">
        <f t="shared" si="315"/>
        <v>0</v>
      </c>
      <c r="AM333" s="10">
        <f t="shared" si="316"/>
        <v>0</v>
      </c>
      <c r="AN333" s="46">
        <f t="shared" si="317"/>
        <v>0</v>
      </c>
      <c r="AO333" s="10">
        <f t="shared" si="318"/>
        <v>0</v>
      </c>
      <c r="AP333" s="10">
        <f t="shared" si="319"/>
        <v>0</v>
      </c>
      <c r="AQ333" s="10">
        <f t="shared" si="320"/>
        <v>0</v>
      </c>
      <c r="AR333" s="10">
        <f t="shared" si="321"/>
        <v>0</v>
      </c>
      <c r="AS333" s="10">
        <f t="shared" si="322"/>
        <v>0</v>
      </c>
      <c r="AT333" s="10">
        <f t="shared" si="323"/>
        <v>0</v>
      </c>
      <c r="AU333" s="10">
        <f t="shared" si="324"/>
        <v>0</v>
      </c>
      <c r="AV333" s="10">
        <f t="shared" si="325"/>
        <v>0</v>
      </c>
      <c r="AW333" s="10">
        <f t="shared" si="326"/>
        <v>0</v>
      </c>
      <c r="AX333" s="10">
        <f t="shared" si="327"/>
        <v>0</v>
      </c>
    </row>
    <row r="334" spans="1:50" x14ac:dyDescent="0.2">
      <c r="A334" s="8">
        <v>12150</v>
      </c>
      <c r="B334" s="89" t="str">
        <f t="shared" si="279"/>
        <v>Coonamble</v>
      </c>
      <c r="C334" s="9" t="str">
        <f t="shared" si="280"/>
        <v>NetWaste</v>
      </c>
      <c r="D334" s="51" t="str">
        <f t="shared" si="281"/>
        <v>N</v>
      </c>
      <c r="E334" s="10">
        <f t="shared" si="282"/>
        <v>0</v>
      </c>
      <c r="F334" s="10">
        <f t="shared" si="283"/>
        <v>3907</v>
      </c>
      <c r="G334" s="10">
        <f t="shared" si="284"/>
        <v>2714</v>
      </c>
      <c r="H334" s="10">
        <f t="shared" si="285"/>
        <v>1.439572586588062</v>
      </c>
      <c r="I334" s="10">
        <f t="shared" si="286"/>
        <v>9916.1</v>
      </c>
      <c r="J334" s="10">
        <f t="shared" si="287"/>
        <v>0.4</v>
      </c>
      <c r="K334" s="10">
        <f t="shared" si="288"/>
        <v>280</v>
      </c>
      <c r="L334" s="10" t="str">
        <f t="shared" si="289"/>
        <v>Y</v>
      </c>
      <c r="M334" s="10">
        <f t="shared" si="290"/>
        <v>1527</v>
      </c>
      <c r="N334" s="10">
        <f t="shared" si="291"/>
        <v>0</v>
      </c>
      <c r="O334" s="10">
        <f t="shared" si="292"/>
        <v>0</v>
      </c>
      <c r="P334" s="10">
        <f t="shared" si="293"/>
        <v>0</v>
      </c>
      <c r="Q334" s="10">
        <f t="shared" si="294"/>
        <v>0</v>
      </c>
      <c r="R334" s="10" t="str">
        <f t="shared" si="295"/>
        <v>Yes</v>
      </c>
      <c r="S334" s="10" t="str">
        <f t="shared" si="296"/>
        <v>Coonamble Landfill</v>
      </c>
      <c r="T334" s="10" t="str">
        <f t="shared" si="297"/>
        <v>Gulargambone Transfer Station</v>
      </c>
      <c r="U334" s="10">
        <f t="shared" si="298"/>
        <v>0</v>
      </c>
      <c r="V334" s="10">
        <f t="shared" si="299"/>
        <v>0</v>
      </c>
      <c r="W334" s="10">
        <f t="shared" si="300"/>
        <v>0</v>
      </c>
      <c r="X334" s="10">
        <f t="shared" si="301"/>
        <v>0</v>
      </c>
      <c r="Y334" s="10">
        <f t="shared" si="302"/>
        <v>0</v>
      </c>
      <c r="Z334" s="10">
        <f t="shared" si="303"/>
        <v>0</v>
      </c>
      <c r="AA334" s="10">
        <f t="shared" si="304"/>
        <v>0</v>
      </c>
      <c r="AB334" s="10">
        <f t="shared" si="305"/>
        <v>0</v>
      </c>
      <c r="AC334" s="10">
        <f t="shared" si="306"/>
        <v>0</v>
      </c>
      <c r="AD334" s="10">
        <f t="shared" si="307"/>
        <v>0</v>
      </c>
      <c r="AE334" s="10">
        <f t="shared" si="308"/>
        <v>0</v>
      </c>
      <c r="AF334" s="10">
        <f t="shared" si="309"/>
        <v>0</v>
      </c>
      <c r="AG334" s="10">
        <f t="shared" si="310"/>
        <v>0</v>
      </c>
      <c r="AH334" s="10">
        <f t="shared" si="311"/>
        <v>0</v>
      </c>
      <c r="AI334" s="10">
        <f t="shared" si="312"/>
        <v>0</v>
      </c>
      <c r="AJ334" s="10">
        <f t="shared" si="313"/>
        <v>0</v>
      </c>
      <c r="AK334" s="10">
        <f t="shared" si="314"/>
        <v>0</v>
      </c>
      <c r="AL334" s="10">
        <f t="shared" si="315"/>
        <v>0</v>
      </c>
      <c r="AM334" s="10">
        <f t="shared" si="316"/>
        <v>0</v>
      </c>
      <c r="AN334" s="46">
        <f t="shared" si="317"/>
        <v>0</v>
      </c>
      <c r="AO334" s="10">
        <f t="shared" si="318"/>
        <v>0</v>
      </c>
      <c r="AP334" s="10">
        <f t="shared" si="319"/>
        <v>0</v>
      </c>
      <c r="AQ334" s="10">
        <f t="shared" si="320"/>
        <v>0</v>
      </c>
      <c r="AR334" s="10">
        <f t="shared" si="321"/>
        <v>0</v>
      </c>
      <c r="AS334" s="10">
        <f t="shared" si="322"/>
        <v>0</v>
      </c>
      <c r="AT334" s="10">
        <f t="shared" si="323"/>
        <v>0</v>
      </c>
      <c r="AU334" s="10">
        <f t="shared" si="324"/>
        <v>0</v>
      </c>
      <c r="AV334" s="10">
        <f t="shared" si="325"/>
        <v>0</v>
      </c>
      <c r="AW334" s="10">
        <f t="shared" si="326"/>
        <v>0</v>
      </c>
      <c r="AX334" s="10">
        <f t="shared" si="327"/>
        <v>0</v>
      </c>
    </row>
    <row r="335" spans="1:50" x14ac:dyDescent="0.2">
      <c r="A335" s="8">
        <v>12160</v>
      </c>
      <c r="B335" s="89" t="str">
        <f t="shared" si="279"/>
        <v>Cootamundra - Gundagai</v>
      </c>
      <c r="C335" s="9" t="str">
        <f t="shared" si="280"/>
        <v>REROC</v>
      </c>
      <c r="D335" s="51" t="str">
        <f t="shared" si="281"/>
        <v>N</v>
      </c>
      <c r="E335" s="10" t="str">
        <f t="shared" si="282"/>
        <v>RJO</v>
      </c>
      <c r="F335" s="10">
        <f t="shared" si="283"/>
        <v>11225</v>
      </c>
      <c r="G335" s="10">
        <f t="shared" si="284"/>
        <v>6213</v>
      </c>
      <c r="H335" s="10">
        <f t="shared" si="285"/>
        <v>1.8066956381780139</v>
      </c>
      <c r="I335" s="10">
        <f t="shared" si="286"/>
        <v>3981.4</v>
      </c>
      <c r="J335" s="10">
        <f t="shared" si="287"/>
        <v>2.8</v>
      </c>
      <c r="K335" s="10">
        <f t="shared" si="288"/>
        <v>554.24</v>
      </c>
      <c r="L335" s="10" t="str">
        <f t="shared" si="289"/>
        <v>Y</v>
      </c>
      <c r="M335" s="10">
        <f t="shared" si="290"/>
        <v>3936</v>
      </c>
      <c r="N335" s="10">
        <f t="shared" si="291"/>
        <v>3936</v>
      </c>
      <c r="O335" s="10">
        <f t="shared" si="292"/>
        <v>2578</v>
      </c>
      <c r="P335" s="10">
        <f t="shared" si="293"/>
        <v>1213</v>
      </c>
      <c r="Q335" s="10">
        <f t="shared" si="294"/>
        <v>0</v>
      </c>
      <c r="R335" s="10" t="str">
        <f t="shared" si="295"/>
        <v>No</v>
      </c>
      <c r="S335" s="10" t="str">
        <f t="shared" si="296"/>
        <v>Cootamundra Waste Facility</v>
      </c>
      <c r="T335" s="10" t="str">
        <f t="shared" si="297"/>
        <v>Gundagai Waste Facility</v>
      </c>
      <c r="U335" s="10">
        <f t="shared" si="298"/>
        <v>0</v>
      </c>
      <c r="V335" s="10">
        <f t="shared" si="299"/>
        <v>0</v>
      </c>
      <c r="W335" s="10">
        <f t="shared" si="300"/>
        <v>0</v>
      </c>
      <c r="X335" s="10">
        <f t="shared" si="301"/>
        <v>0</v>
      </c>
      <c r="Y335" s="10">
        <f t="shared" si="302"/>
        <v>0</v>
      </c>
      <c r="Z335" s="10">
        <f t="shared" si="303"/>
        <v>0</v>
      </c>
      <c r="AA335" s="10">
        <f t="shared" si="304"/>
        <v>0</v>
      </c>
      <c r="AB335" s="10">
        <f t="shared" si="305"/>
        <v>0</v>
      </c>
      <c r="AC335" s="10">
        <f t="shared" si="306"/>
        <v>0</v>
      </c>
      <c r="AD335" s="10">
        <f t="shared" si="307"/>
        <v>0</v>
      </c>
      <c r="AE335" s="10">
        <f t="shared" si="308"/>
        <v>0</v>
      </c>
      <c r="AF335" s="10">
        <f t="shared" si="309"/>
        <v>0</v>
      </c>
      <c r="AG335" s="10">
        <f t="shared" si="310"/>
        <v>0</v>
      </c>
      <c r="AH335" s="10">
        <f t="shared" si="311"/>
        <v>0</v>
      </c>
      <c r="AI335" s="10">
        <f t="shared" si="312"/>
        <v>0</v>
      </c>
      <c r="AJ335" s="10">
        <f t="shared" si="313"/>
        <v>0</v>
      </c>
      <c r="AK335" s="10">
        <f t="shared" si="314"/>
        <v>0</v>
      </c>
      <c r="AL335" s="10">
        <f t="shared" si="315"/>
        <v>0</v>
      </c>
      <c r="AM335" s="10">
        <f t="shared" si="316"/>
        <v>0</v>
      </c>
      <c r="AN335" s="46">
        <f t="shared" si="317"/>
        <v>0</v>
      </c>
      <c r="AO335" s="10">
        <f t="shared" si="318"/>
        <v>0</v>
      </c>
      <c r="AP335" s="10">
        <f t="shared" si="319"/>
        <v>0</v>
      </c>
      <c r="AQ335" s="10">
        <f t="shared" si="320"/>
        <v>0</v>
      </c>
      <c r="AR335" s="10">
        <f t="shared" si="321"/>
        <v>0</v>
      </c>
      <c r="AS335" s="10">
        <f t="shared" si="322"/>
        <v>0</v>
      </c>
      <c r="AT335" s="10">
        <f t="shared" si="323"/>
        <v>0</v>
      </c>
      <c r="AU335" s="10">
        <f t="shared" si="324"/>
        <v>0</v>
      </c>
      <c r="AV335" s="10">
        <f t="shared" si="325"/>
        <v>0</v>
      </c>
      <c r="AW335" s="10">
        <f t="shared" si="326"/>
        <v>0</v>
      </c>
      <c r="AX335" s="10">
        <f t="shared" si="327"/>
        <v>0</v>
      </c>
    </row>
    <row r="336" spans="1:50" x14ac:dyDescent="0.2">
      <c r="A336" s="8">
        <v>12350</v>
      </c>
      <c r="B336" s="89" t="str">
        <f t="shared" si="279"/>
        <v>Cowra</v>
      </c>
      <c r="C336" s="9" t="str">
        <f t="shared" si="280"/>
        <v>NetWaste</v>
      </c>
      <c r="D336" s="51" t="str">
        <f t="shared" si="281"/>
        <v>N</v>
      </c>
      <c r="E336" s="10" t="str">
        <f t="shared" si="282"/>
        <v>CNJO</v>
      </c>
      <c r="F336" s="10">
        <f t="shared" si="283"/>
        <v>12730</v>
      </c>
      <c r="G336" s="10">
        <f t="shared" si="284"/>
        <v>5262</v>
      </c>
      <c r="H336" s="10">
        <f t="shared" si="285"/>
        <v>2.4192322310908398</v>
      </c>
      <c r="I336" s="10">
        <f t="shared" si="286"/>
        <v>2808.8</v>
      </c>
      <c r="J336" s="10">
        <f t="shared" si="287"/>
        <v>4.5</v>
      </c>
      <c r="K336" s="10">
        <f t="shared" si="288"/>
        <v>669</v>
      </c>
      <c r="L336" s="10" t="str">
        <f t="shared" si="289"/>
        <v>Y</v>
      </c>
      <c r="M336" s="10">
        <f t="shared" si="290"/>
        <v>4763</v>
      </c>
      <c r="N336" s="10">
        <f t="shared" si="291"/>
        <v>4476</v>
      </c>
      <c r="O336" s="10">
        <f t="shared" si="292"/>
        <v>0</v>
      </c>
      <c r="P336" s="10">
        <f t="shared" si="293"/>
        <v>0</v>
      </c>
      <c r="Q336" s="10">
        <f t="shared" si="294"/>
        <v>0</v>
      </c>
      <c r="R336" s="10" t="str">
        <f t="shared" si="295"/>
        <v>Yes</v>
      </c>
      <c r="S336" s="10" t="str">
        <f t="shared" si="296"/>
        <v>Cowra MRF &amp; Landfill, 236 Glen Logan Rd, Cowra 2794</v>
      </c>
      <c r="T336" s="10">
        <f t="shared" si="297"/>
        <v>0</v>
      </c>
      <c r="U336" s="10">
        <f t="shared" si="298"/>
        <v>0</v>
      </c>
      <c r="V336" s="10">
        <f t="shared" si="299"/>
        <v>0</v>
      </c>
      <c r="W336" s="10">
        <f t="shared" si="300"/>
        <v>0</v>
      </c>
      <c r="X336" s="10">
        <f t="shared" si="301"/>
        <v>0</v>
      </c>
      <c r="Y336" s="10">
        <f t="shared" si="302"/>
        <v>0</v>
      </c>
      <c r="Z336" s="10">
        <f t="shared" si="303"/>
        <v>0</v>
      </c>
      <c r="AA336" s="10">
        <f t="shared" si="304"/>
        <v>0</v>
      </c>
      <c r="AB336" s="10">
        <f t="shared" si="305"/>
        <v>0</v>
      </c>
      <c r="AC336" s="10">
        <f t="shared" si="306"/>
        <v>0</v>
      </c>
      <c r="AD336" s="10">
        <f t="shared" si="307"/>
        <v>0</v>
      </c>
      <c r="AE336" s="10">
        <f t="shared" si="308"/>
        <v>0</v>
      </c>
      <c r="AF336" s="10">
        <f t="shared" si="309"/>
        <v>0</v>
      </c>
      <c r="AG336" s="10">
        <f t="shared" si="310"/>
        <v>0</v>
      </c>
      <c r="AH336" s="10">
        <f t="shared" si="311"/>
        <v>0</v>
      </c>
      <c r="AI336" s="10">
        <f t="shared" si="312"/>
        <v>0</v>
      </c>
      <c r="AJ336" s="10">
        <f t="shared" si="313"/>
        <v>0</v>
      </c>
      <c r="AK336" s="10">
        <f t="shared" si="314"/>
        <v>0</v>
      </c>
      <c r="AL336" s="10">
        <f t="shared" si="315"/>
        <v>0</v>
      </c>
      <c r="AM336" s="10">
        <f t="shared" si="316"/>
        <v>0</v>
      </c>
      <c r="AN336" s="46">
        <f t="shared" si="317"/>
        <v>0</v>
      </c>
      <c r="AO336" s="10">
        <f t="shared" si="318"/>
        <v>0</v>
      </c>
      <c r="AP336" s="10">
        <f t="shared" si="319"/>
        <v>0</v>
      </c>
      <c r="AQ336" s="10">
        <f t="shared" si="320"/>
        <v>0</v>
      </c>
      <c r="AR336" s="10">
        <f t="shared" si="321"/>
        <v>0</v>
      </c>
      <c r="AS336" s="10">
        <f t="shared" si="322"/>
        <v>0</v>
      </c>
      <c r="AT336" s="10">
        <f t="shared" si="323"/>
        <v>0</v>
      </c>
      <c r="AU336" s="10">
        <f t="shared" si="324"/>
        <v>0</v>
      </c>
      <c r="AV336" s="10">
        <f t="shared" si="325"/>
        <v>0</v>
      </c>
      <c r="AW336" s="10">
        <f t="shared" si="326"/>
        <v>0</v>
      </c>
      <c r="AX336" s="10">
        <f t="shared" si="327"/>
        <v>0</v>
      </c>
    </row>
    <row r="337" spans="1:50" x14ac:dyDescent="0.2">
      <c r="A337" s="8">
        <v>12390</v>
      </c>
      <c r="B337" s="89" t="str">
        <f t="shared" si="279"/>
        <v>Dubbo Regional</v>
      </c>
      <c r="C337" s="9" t="str">
        <f t="shared" si="280"/>
        <v>NetWaste</v>
      </c>
      <c r="D337" s="51" t="str">
        <f t="shared" si="281"/>
        <v>N</v>
      </c>
      <c r="E337" s="10">
        <f t="shared" si="282"/>
        <v>0</v>
      </c>
      <c r="F337" s="10">
        <f t="shared" si="283"/>
        <v>54044</v>
      </c>
      <c r="G337" s="10">
        <f t="shared" si="284"/>
        <v>23000</v>
      </c>
      <c r="H337" s="10">
        <f t="shared" si="285"/>
        <v>2.3497391304347826</v>
      </c>
      <c r="I337" s="10">
        <f t="shared" si="286"/>
        <v>7534.5</v>
      </c>
      <c r="J337" s="10">
        <f t="shared" si="287"/>
        <v>7.2</v>
      </c>
      <c r="K337" s="10">
        <f t="shared" si="288"/>
        <v>399.1</v>
      </c>
      <c r="L337" s="10" t="str">
        <f t="shared" si="289"/>
        <v>Y</v>
      </c>
      <c r="M337" s="10">
        <f t="shared" si="290"/>
        <v>18988</v>
      </c>
      <c r="N337" s="10">
        <f t="shared" si="291"/>
        <v>18988</v>
      </c>
      <c r="O337" s="10">
        <f t="shared" si="292"/>
        <v>0</v>
      </c>
      <c r="P337" s="10">
        <f t="shared" si="293"/>
        <v>15568</v>
      </c>
      <c r="Q337" s="10">
        <f t="shared" si="294"/>
        <v>23000</v>
      </c>
      <c r="R337" s="10" t="str">
        <f t="shared" si="295"/>
        <v>Yes</v>
      </c>
      <c r="S337" s="10">
        <f t="shared" si="296"/>
        <v>0</v>
      </c>
      <c r="T337" s="10">
        <f t="shared" si="297"/>
        <v>0</v>
      </c>
      <c r="U337" s="10">
        <f t="shared" si="298"/>
        <v>0</v>
      </c>
      <c r="V337" s="10">
        <f t="shared" si="299"/>
        <v>0</v>
      </c>
      <c r="W337" s="10">
        <f t="shared" si="300"/>
        <v>0</v>
      </c>
      <c r="X337" s="10">
        <f t="shared" si="301"/>
        <v>0</v>
      </c>
      <c r="Y337" s="10">
        <f t="shared" si="302"/>
        <v>0</v>
      </c>
      <c r="Z337" s="10">
        <f t="shared" si="303"/>
        <v>0</v>
      </c>
      <c r="AA337" s="10">
        <f t="shared" si="304"/>
        <v>0</v>
      </c>
      <c r="AB337" s="10">
        <f t="shared" si="305"/>
        <v>0</v>
      </c>
      <c r="AC337" s="10">
        <f t="shared" si="306"/>
        <v>0</v>
      </c>
      <c r="AD337" s="10">
        <f t="shared" si="307"/>
        <v>0</v>
      </c>
      <c r="AE337" s="10">
        <f t="shared" si="308"/>
        <v>0</v>
      </c>
      <c r="AF337" s="10">
        <f t="shared" si="309"/>
        <v>0</v>
      </c>
      <c r="AG337" s="10">
        <f t="shared" si="310"/>
        <v>0</v>
      </c>
      <c r="AH337" s="10">
        <f t="shared" si="311"/>
        <v>0</v>
      </c>
      <c r="AI337" s="10">
        <f t="shared" si="312"/>
        <v>0</v>
      </c>
      <c r="AJ337" s="10">
        <f t="shared" si="313"/>
        <v>0</v>
      </c>
      <c r="AK337" s="10">
        <f t="shared" si="314"/>
        <v>0</v>
      </c>
      <c r="AL337" s="10">
        <f t="shared" si="315"/>
        <v>0</v>
      </c>
      <c r="AM337" s="10">
        <f t="shared" si="316"/>
        <v>0</v>
      </c>
      <c r="AN337" s="46">
        <f t="shared" si="317"/>
        <v>0</v>
      </c>
      <c r="AO337" s="10">
        <f t="shared" si="318"/>
        <v>0</v>
      </c>
      <c r="AP337" s="10">
        <f t="shared" si="319"/>
        <v>0</v>
      </c>
      <c r="AQ337" s="10">
        <f t="shared" si="320"/>
        <v>0</v>
      </c>
      <c r="AR337" s="10">
        <f t="shared" si="321"/>
        <v>0</v>
      </c>
      <c r="AS337" s="10">
        <f t="shared" si="322"/>
        <v>0</v>
      </c>
      <c r="AT337" s="10">
        <f t="shared" si="323"/>
        <v>0</v>
      </c>
      <c r="AU337" s="10">
        <f t="shared" si="324"/>
        <v>0</v>
      </c>
      <c r="AV337" s="10">
        <f t="shared" si="325"/>
        <v>0</v>
      </c>
      <c r="AW337" s="10">
        <f t="shared" si="326"/>
        <v>0</v>
      </c>
      <c r="AX337" s="10">
        <f t="shared" si="327"/>
        <v>0</v>
      </c>
    </row>
    <row r="338" spans="1:50" x14ac:dyDescent="0.2">
      <c r="A338" s="8">
        <v>12700</v>
      </c>
      <c r="B338" s="89" t="str">
        <f t="shared" si="279"/>
        <v>Dungog</v>
      </c>
      <c r="C338" s="9" t="str">
        <f t="shared" si="280"/>
        <v>Hunter</v>
      </c>
      <c r="D338" s="51" t="str">
        <f t="shared" si="281"/>
        <v>R</v>
      </c>
      <c r="E338" s="10" t="str">
        <f t="shared" si="282"/>
        <v>HJO</v>
      </c>
      <c r="F338" s="10">
        <f t="shared" si="283"/>
        <v>9664</v>
      </c>
      <c r="G338" s="10">
        <f t="shared" si="284"/>
        <v>5300</v>
      </c>
      <c r="H338" s="10">
        <f t="shared" si="285"/>
        <v>1.8233962264150942</v>
      </c>
      <c r="I338" s="10">
        <f t="shared" si="286"/>
        <v>2250</v>
      </c>
      <c r="J338" s="10">
        <f t="shared" si="287"/>
        <v>4.3</v>
      </c>
      <c r="K338" s="10">
        <f t="shared" si="288"/>
        <v>455</v>
      </c>
      <c r="L338" s="10" t="str">
        <f t="shared" si="289"/>
        <v>Y</v>
      </c>
      <c r="M338" s="10">
        <f t="shared" si="290"/>
        <v>3786</v>
      </c>
      <c r="N338" s="10">
        <f t="shared" si="291"/>
        <v>3751</v>
      </c>
      <c r="O338" s="10">
        <f t="shared" si="292"/>
        <v>0</v>
      </c>
      <c r="P338" s="10">
        <f t="shared" si="293"/>
        <v>0</v>
      </c>
      <c r="Q338" s="10">
        <f t="shared" si="294"/>
        <v>5300</v>
      </c>
      <c r="R338" s="10" t="str">
        <f t="shared" si="295"/>
        <v>Yes</v>
      </c>
      <c r="S338" s="10" t="str">
        <f t="shared" si="296"/>
        <v>Dungog Waste Management Facility</v>
      </c>
      <c r="T338" s="10">
        <f t="shared" si="297"/>
        <v>0</v>
      </c>
      <c r="U338" s="10">
        <f t="shared" si="298"/>
        <v>0</v>
      </c>
      <c r="V338" s="10">
        <f t="shared" si="299"/>
        <v>0</v>
      </c>
      <c r="W338" s="10">
        <f t="shared" si="300"/>
        <v>0</v>
      </c>
      <c r="X338" s="10">
        <f t="shared" si="301"/>
        <v>0</v>
      </c>
      <c r="Y338" s="10">
        <f t="shared" si="302"/>
        <v>0</v>
      </c>
      <c r="Z338" s="10">
        <f t="shared" si="303"/>
        <v>0</v>
      </c>
      <c r="AA338" s="10">
        <f t="shared" si="304"/>
        <v>0</v>
      </c>
      <c r="AB338" s="10">
        <f t="shared" si="305"/>
        <v>0</v>
      </c>
      <c r="AC338" s="10">
        <f t="shared" si="306"/>
        <v>0</v>
      </c>
      <c r="AD338" s="10">
        <f t="shared" si="307"/>
        <v>0</v>
      </c>
      <c r="AE338" s="10">
        <f t="shared" si="308"/>
        <v>0</v>
      </c>
      <c r="AF338" s="10">
        <f t="shared" si="309"/>
        <v>0</v>
      </c>
      <c r="AG338" s="10">
        <f t="shared" si="310"/>
        <v>0</v>
      </c>
      <c r="AH338" s="10">
        <f t="shared" si="311"/>
        <v>0</v>
      </c>
      <c r="AI338" s="10">
        <f t="shared" si="312"/>
        <v>0</v>
      </c>
      <c r="AJ338" s="10">
        <f t="shared" si="313"/>
        <v>0</v>
      </c>
      <c r="AK338" s="10">
        <f t="shared" si="314"/>
        <v>0</v>
      </c>
      <c r="AL338" s="10">
        <f t="shared" si="315"/>
        <v>0</v>
      </c>
      <c r="AM338" s="10">
        <f t="shared" si="316"/>
        <v>0</v>
      </c>
      <c r="AN338" s="46">
        <f t="shared" si="317"/>
        <v>0</v>
      </c>
      <c r="AO338" s="10">
        <f t="shared" si="318"/>
        <v>0</v>
      </c>
      <c r="AP338" s="10">
        <f t="shared" si="319"/>
        <v>0</v>
      </c>
      <c r="AQ338" s="10">
        <f t="shared" si="320"/>
        <v>0</v>
      </c>
      <c r="AR338" s="10">
        <f t="shared" si="321"/>
        <v>0</v>
      </c>
      <c r="AS338" s="10">
        <f t="shared" si="322"/>
        <v>0</v>
      </c>
      <c r="AT338" s="10">
        <f t="shared" si="323"/>
        <v>0</v>
      </c>
      <c r="AU338" s="10">
        <f t="shared" si="324"/>
        <v>0</v>
      </c>
      <c r="AV338" s="10">
        <f t="shared" si="325"/>
        <v>0</v>
      </c>
      <c r="AW338" s="10">
        <f t="shared" si="326"/>
        <v>0</v>
      </c>
      <c r="AX338" s="10">
        <f t="shared" si="327"/>
        <v>0</v>
      </c>
    </row>
    <row r="339" spans="1:50" x14ac:dyDescent="0.2">
      <c r="A339" s="8">
        <v>12730</v>
      </c>
      <c r="B339" s="89" t="str">
        <f t="shared" si="279"/>
        <v>Edward River</v>
      </c>
      <c r="C339" s="9" t="str">
        <f t="shared" si="280"/>
        <v>RAMJO Murray</v>
      </c>
      <c r="D339" s="51" t="str">
        <f t="shared" si="281"/>
        <v>N</v>
      </c>
      <c r="E339" s="10" t="str">
        <f t="shared" si="282"/>
        <v>RMJO</v>
      </c>
      <c r="F339" s="10">
        <f t="shared" si="283"/>
        <v>9083</v>
      </c>
      <c r="G339" s="10">
        <f t="shared" si="284"/>
        <v>5003</v>
      </c>
      <c r="H339" s="10">
        <f t="shared" si="285"/>
        <v>1.8155106935838496</v>
      </c>
      <c r="I339" s="10">
        <f t="shared" si="286"/>
        <v>8883.4</v>
      </c>
      <c r="J339" s="10">
        <f t="shared" si="287"/>
        <v>1</v>
      </c>
      <c r="K339" s="10">
        <f t="shared" si="288"/>
        <v>374</v>
      </c>
      <c r="L339" s="10" t="str">
        <f t="shared" si="289"/>
        <v>Y</v>
      </c>
      <c r="M339" s="10">
        <f t="shared" si="290"/>
        <v>3521</v>
      </c>
      <c r="N339" s="10">
        <f t="shared" si="291"/>
        <v>0</v>
      </c>
      <c r="O339" s="10">
        <f t="shared" si="292"/>
        <v>0</v>
      </c>
      <c r="P339" s="10">
        <f t="shared" si="293"/>
        <v>0</v>
      </c>
      <c r="Q339" s="10">
        <f t="shared" si="294"/>
        <v>0</v>
      </c>
      <c r="R339" s="10" t="str">
        <f t="shared" si="295"/>
        <v>Yes</v>
      </c>
      <c r="S339" s="10" t="str">
        <f t="shared" si="296"/>
        <v xml:space="preserve">Deniliquin Waste Disposal Depot, Hay Rd, Deniliquin NSW 2710 </v>
      </c>
      <c r="T339" s="10" t="str">
        <f t="shared" si="297"/>
        <v>Blighty Landfill, 18744 Riverina Hwy, Blighty NSW 2710</v>
      </c>
      <c r="U339" s="10" t="str">
        <f t="shared" si="298"/>
        <v>Booroorban Landfill, Cobb Hwy Booroorbam NSW 2710</v>
      </c>
      <c r="V339" s="10" t="str">
        <f t="shared" si="299"/>
        <v>Conargo Landfill, Conargo Rd (McKenzie St) Conargo NSW 2710</v>
      </c>
      <c r="W339" s="10" t="str">
        <f t="shared" si="300"/>
        <v>Pretty Pine Landfill, Pretty Pine Rd, Pretty Pine NSW 2710</v>
      </c>
      <c r="X339" s="10" t="str">
        <f t="shared" si="301"/>
        <v>Wanganella Landfill, Wanganella Tip Rd, Wanganella NSW 2710</v>
      </c>
      <c r="Y339" s="10">
        <f t="shared" si="302"/>
        <v>0</v>
      </c>
      <c r="Z339" s="10">
        <f t="shared" si="303"/>
        <v>0</v>
      </c>
      <c r="AA339" s="10">
        <f t="shared" si="304"/>
        <v>0</v>
      </c>
      <c r="AB339" s="10">
        <f t="shared" si="305"/>
        <v>0</v>
      </c>
      <c r="AC339" s="10">
        <f t="shared" si="306"/>
        <v>0</v>
      </c>
      <c r="AD339" s="10">
        <f t="shared" si="307"/>
        <v>0</v>
      </c>
      <c r="AE339" s="10">
        <f t="shared" si="308"/>
        <v>0</v>
      </c>
      <c r="AF339" s="10">
        <f t="shared" si="309"/>
        <v>0</v>
      </c>
      <c r="AG339" s="10">
        <f t="shared" si="310"/>
        <v>0</v>
      </c>
      <c r="AH339" s="10">
        <f t="shared" si="311"/>
        <v>0</v>
      </c>
      <c r="AI339" s="10">
        <f t="shared" si="312"/>
        <v>0</v>
      </c>
      <c r="AJ339" s="10">
        <f t="shared" si="313"/>
        <v>0</v>
      </c>
      <c r="AK339" s="10">
        <f t="shared" si="314"/>
        <v>0</v>
      </c>
      <c r="AL339" s="10">
        <f t="shared" si="315"/>
        <v>0</v>
      </c>
      <c r="AM339" s="10">
        <f t="shared" si="316"/>
        <v>0</v>
      </c>
      <c r="AN339" s="46">
        <f t="shared" si="317"/>
        <v>0</v>
      </c>
      <c r="AO339" s="10">
        <f t="shared" si="318"/>
        <v>0</v>
      </c>
      <c r="AP339" s="10">
        <f t="shared" si="319"/>
        <v>0</v>
      </c>
      <c r="AQ339" s="10">
        <f t="shared" si="320"/>
        <v>0</v>
      </c>
      <c r="AR339" s="10">
        <f t="shared" si="321"/>
        <v>0</v>
      </c>
      <c r="AS339" s="10">
        <f t="shared" si="322"/>
        <v>0</v>
      </c>
      <c r="AT339" s="10">
        <f t="shared" si="323"/>
        <v>0</v>
      </c>
      <c r="AU339" s="10">
        <f t="shared" si="324"/>
        <v>0</v>
      </c>
      <c r="AV339" s="10">
        <f t="shared" si="325"/>
        <v>0</v>
      </c>
      <c r="AW339" s="10">
        <f t="shared" si="326"/>
        <v>0</v>
      </c>
      <c r="AX339" s="10">
        <f t="shared" si="327"/>
        <v>0</v>
      </c>
    </row>
    <row r="340" spans="1:50" x14ac:dyDescent="0.2">
      <c r="A340" s="8">
        <v>12750</v>
      </c>
      <c r="B340" s="89" t="str">
        <f t="shared" si="279"/>
        <v>Eurobodalla</v>
      </c>
      <c r="C340" s="9" t="str">
        <f t="shared" si="280"/>
        <v>CRJO</v>
      </c>
      <c r="D340" s="51" t="str">
        <f t="shared" si="281"/>
        <v>N</v>
      </c>
      <c r="E340" s="10" t="str">
        <f t="shared" si="282"/>
        <v>CRJO</v>
      </c>
      <c r="F340" s="10">
        <f t="shared" si="283"/>
        <v>38952</v>
      </c>
      <c r="G340" s="10">
        <f t="shared" si="284"/>
        <v>24402</v>
      </c>
      <c r="H340" s="10">
        <f t="shared" si="285"/>
        <v>1.5962626014261125</v>
      </c>
      <c r="I340" s="10">
        <f t="shared" si="286"/>
        <v>3428.2</v>
      </c>
      <c r="J340" s="10">
        <f t="shared" si="287"/>
        <v>11.4</v>
      </c>
      <c r="K340" s="10">
        <f t="shared" si="288"/>
        <v>299.25</v>
      </c>
      <c r="L340" s="10" t="str">
        <f t="shared" si="289"/>
        <v>Y</v>
      </c>
      <c r="M340" s="10">
        <f t="shared" si="290"/>
        <v>24402</v>
      </c>
      <c r="N340" s="10">
        <f t="shared" si="291"/>
        <v>22891</v>
      </c>
      <c r="O340" s="10">
        <f t="shared" si="292"/>
        <v>21428</v>
      </c>
      <c r="P340" s="10">
        <f t="shared" si="293"/>
        <v>0</v>
      </c>
      <c r="Q340" s="10">
        <f t="shared" si="294"/>
        <v>24402</v>
      </c>
      <c r="R340" s="10" t="str">
        <f t="shared" si="295"/>
        <v>Yes</v>
      </c>
      <c r="S340" s="10" t="str">
        <f t="shared" si="296"/>
        <v>Surf Beach Waste Management Facility</v>
      </c>
      <c r="T340" s="10" t="str">
        <f t="shared" si="297"/>
        <v>Brou Waste Management Facility</v>
      </c>
      <c r="U340" s="10" t="str">
        <f t="shared" si="298"/>
        <v>Moruya transfer Station</v>
      </c>
      <c r="V340" s="10">
        <f t="shared" si="299"/>
        <v>0</v>
      </c>
      <c r="W340" s="10">
        <f t="shared" si="300"/>
        <v>0</v>
      </c>
      <c r="X340" s="10">
        <f t="shared" si="301"/>
        <v>0</v>
      </c>
      <c r="Y340" s="10">
        <f t="shared" si="302"/>
        <v>0</v>
      </c>
      <c r="Z340" s="10">
        <f t="shared" si="303"/>
        <v>0</v>
      </c>
      <c r="AA340" s="10">
        <f t="shared" si="304"/>
        <v>0</v>
      </c>
      <c r="AB340" s="10">
        <f t="shared" si="305"/>
        <v>0</v>
      </c>
      <c r="AC340" s="10">
        <f t="shared" si="306"/>
        <v>0</v>
      </c>
      <c r="AD340" s="10">
        <f t="shared" si="307"/>
        <v>0</v>
      </c>
      <c r="AE340" s="10">
        <f t="shared" si="308"/>
        <v>0</v>
      </c>
      <c r="AF340" s="10">
        <f t="shared" si="309"/>
        <v>0</v>
      </c>
      <c r="AG340" s="10">
        <f t="shared" si="310"/>
        <v>0</v>
      </c>
      <c r="AH340" s="10">
        <f t="shared" si="311"/>
        <v>0</v>
      </c>
      <c r="AI340" s="10">
        <f t="shared" si="312"/>
        <v>0</v>
      </c>
      <c r="AJ340" s="10">
        <f t="shared" si="313"/>
        <v>0</v>
      </c>
      <c r="AK340" s="10">
        <f t="shared" si="314"/>
        <v>0</v>
      </c>
      <c r="AL340" s="10">
        <f t="shared" si="315"/>
        <v>0</v>
      </c>
      <c r="AM340" s="10">
        <f t="shared" si="316"/>
        <v>0</v>
      </c>
      <c r="AN340" s="46">
        <f t="shared" si="317"/>
        <v>0</v>
      </c>
      <c r="AO340" s="10">
        <f t="shared" si="318"/>
        <v>0</v>
      </c>
      <c r="AP340" s="10">
        <f t="shared" si="319"/>
        <v>0</v>
      </c>
      <c r="AQ340" s="10">
        <f t="shared" si="320"/>
        <v>0</v>
      </c>
      <c r="AR340" s="10">
        <f t="shared" si="321"/>
        <v>0</v>
      </c>
      <c r="AS340" s="10">
        <f t="shared" si="322"/>
        <v>0</v>
      </c>
      <c r="AT340" s="10">
        <f t="shared" si="323"/>
        <v>0</v>
      </c>
      <c r="AU340" s="10">
        <f t="shared" si="324"/>
        <v>0</v>
      </c>
      <c r="AV340" s="10">
        <f t="shared" si="325"/>
        <v>0</v>
      </c>
      <c r="AW340" s="10">
        <f t="shared" si="326"/>
        <v>0</v>
      </c>
      <c r="AX340" s="10">
        <f t="shared" si="327"/>
        <v>0</v>
      </c>
    </row>
    <row r="341" spans="1:50" x14ac:dyDescent="0.2">
      <c r="A341" s="8">
        <v>12870</v>
      </c>
      <c r="B341" s="89" t="str">
        <f t="shared" si="279"/>
        <v>Federation</v>
      </c>
      <c r="C341" s="9" t="str">
        <f t="shared" si="280"/>
        <v>RAMJO Murray</v>
      </c>
      <c r="D341" s="51" t="str">
        <f t="shared" si="281"/>
        <v>N</v>
      </c>
      <c r="E341" s="10" t="str">
        <f t="shared" si="282"/>
        <v>RMJO</v>
      </c>
      <c r="F341" s="10">
        <f t="shared" si="283"/>
        <v>12598</v>
      </c>
      <c r="G341" s="10">
        <f t="shared" si="284"/>
        <v>9078</v>
      </c>
      <c r="H341" s="10">
        <f t="shared" si="285"/>
        <v>1.3877506058603217</v>
      </c>
      <c r="I341" s="10">
        <f t="shared" si="286"/>
        <v>5685</v>
      </c>
      <c r="J341" s="10">
        <f t="shared" si="287"/>
        <v>2.2000000000000002</v>
      </c>
      <c r="K341" s="10">
        <f t="shared" si="288"/>
        <v>340</v>
      </c>
      <c r="L341" s="10" t="str">
        <f t="shared" si="289"/>
        <v>Y</v>
      </c>
      <c r="M341" s="10">
        <f t="shared" si="290"/>
        <v>5866</v>
      </c>
      <c r="N341" s="10">
        <f t="shared" si="291"/>
        <v>5451</v>
      </c>
      <c r="O341" s="10">
        <f t="shared" si="292"/>
        <v>0</v>
      </c>
      <c r="P341" s="10">
        <f t="shared" si="293"/>
        <v>5430</v>
      </c>
      <c r="Q341" s="10">
        <f t="shared" si="294"/>
        <v>0</v>
      </c>
      <c r="R341" s="10" t="str">
        <f t="shared" si="295"/>
        <v>Yes</v>
      </c>
      <c r="S341" s="10" t="str">
        <f t="shared" si="296"/>
        <v>Corowa Waste Management Centre, Riverina Highway</v>
      </c>
      <c r="T341" s="10" t="str">
        <f t="shared" si="297"/>
        <v>Mulwala Transfer Station, Old Barooga Road</v>
      </c>
      <c r="U341" s="10" t="str">
        <f t="shared" si="298"/>
        <v>Howlong Waste Management Centre, Goombargana Rd</v>
      </c>
      <c r="V341" s="10" t="str">
        <f t="shared" si="299"/>
        <v>Urana Landfill, Boree Creek Road, Urana</v>
      </c>
      <c r="W341" s="10" t="str">
        <f t="shared" si="300"/>
        <v>Oaklands Landfill, Maxwelton Road, Oaklands</v>
      </c>
      <c r="X341" s="10" t="str">
        <f t="shared" si="301"/>
        <v>Community Recycling Centre - Corowa Depot</v>
      </c>
      <c r="Y341" s="10" t="str">
        <f t="shared" si="302"/>
        <v>Community Recycling Centre - Urana Waste Disposal</v>
      </c>
      <c r="Z341" s="10">
        <f t="shared" si="303"/>
        <v>0</v>
      </c>
      <c r="AA341" s="10">
        <f t="shared" si="304"/>
        <v>0</v>
      </c>
      <c r="AB341" s="10">
        <f t="shared" si="305"/>
        <v>0</v>
      </c>
      <c r="AC341" s="10">
        <f t="shared" si="306"/>
        <v>0</v>
      </c>
      <c r="AD341" s="10">
        <f t="shared" si="307"/>
        <v>0</v>
      </c>
      <c r="AE341" s="10">
        <f t="shared" si="308"/>
        <v>0</v>
      </c>
      <c r="AF341" s="10">
        <f t="shared" si="309"/>
        <v>0</v>
      </c>
      <c r="AG341" s="10">
        <f t="shared" si="310"/>
        <v>0</v>
      </c>
      <c r="AH341" s="10">
        <f t="shared" si="311"/>
        <v>0</v>
      </c>
      <c r="AI341" s="10">
        <f t="shared" si="312"/>
        <v>0</v>
      </c>
      <c r="AJ341" s="10">
        <f t="shared" si="313"/>
        <v>0</v>
      </c>
      <c r="AK341" s="10">
        <f t="shared" si="314"/>
        <v>0</v>
      </c>
      <c r="AL341" s="10">
        <f t="shared" si="315"/>
        <v>0</v>
      </c>
      <c r="AM341" s="10">
        <f t="shared" si="316"/>
        <v>0</v>
      </c>
      <c r="AN341" s="46">
        <f t="shared" si="317"/>
        <v>0</v>
      </c>
      <c r="AO341" s="10">
        <f t="shared" si="318"/>
        <v>0</v>
      </c>
      <c r="AP341" s="10">
        <f t="shared" si="319"/>
        <v>0</v>
      </c>
      <c r="AQ341" s="10">
        <f t="shared" si="320"/>
        <v>0</v>
      </c>
      <c r="AR341" s="10">
        <f t="shared" si="321"/>
        <v>0</v>
      </c>
      <c r="AS341" s="10">
        <f t="shared" si="322"/>
        <v>0</v>
      </c>
      <c r="AT341" s="10">
        <f t="shared" si="323"/>
        <v>0</v>
      </c>
      <c r="AU341" s="10">
        <f t="shared" si="324"/>
        <v>0</v>
      </c>
      <c r="AV341" s="10">
        <f t="shared" si="325"/>
        <v>0</v>
      </c>
      <c r="AW341" s="10">
        <f t="shared" si="326"/>
        <v>0</v>
      </c>
      <c r="AX341" s="10">
        <f t="shared" si="327"/>
        <v>0</v>
      </c>
    </row>
    <row r="342" spans="1:50" x14ac:dyDescent="0.2">
      <c r="A342" s="8">
        <v>12900</v>
      </c>
      <c r="B342" s="89" t="str">
        <f t="shared" si="279"/>
        <v>Forbes</v>
      </c>
      <c r="C342" s="9" t="str">
        <f t="shared" si="280"/>
        <v>NetWaste</v>
      </c>
      <c r="D342" s="51" t="str">
        <f t="shared" si="281"/>
        <v>N</v>
      </c>
      <c r="E342" s="10" t="str">
        <f t="shared" si="282"/>
        <v>CNJO</v>
      </c>
      <c r="F342" s="10">
        <f t="shared" si="283"/>
        <v>9920</v>
      </c>
      <c r="G342" s="10">
        <f t="shared" si="284"/>
        <v>4248</v>
      </c>
      <c r="H342" s="10">
        <f t="shared" si="285"/>
        <v>2.335216572504708</v>
      </c>
      <c r="I342" s="10">
        <f t="shared" si="286"/>
        <v>4710.1000000000004</v>
      </c>
      <c r="J342" s="10">
        <f t="shared" si="287"/>
        <v>2.1</v>
      </c>
      <c r="K342" s="10">
        <f t="shared" si="288"/>
        <v>534</v>
      </c>
      <c r="L342" s="10" t="str">
        <f t="shared" si="289"/>
        <v>Y</v>
      </c>
      <c r="M342" s="10">
        <f t="shared" si="290"/>
        <v>3353</v>
      </c>
      <c r="N342" s="10">
        <f t="shared" si="291"/>
        <v>3254</v>
      </c>
      <c r="O342" s="10">
        <f t="shared" si="292"/>
        <v>0</v>
      </c>
      <c r="P342" s="10">
        <f t="shared" si="293"/>
        <v>3295</v>
      </c>
      <c r="Q342" s="10">
        <f t="shared" si="294"/>
        <v>4248</v>
      </c>
      <c r="R342" s="10" t="str">
        <f t="shared" si="295"/>
        <v>Yes</v>
      </c>
      <c r="S342" s="10" t="str">
        <f t="shared" si="296"/>
        <v>Daroobalgie Waste Management Facility</v>
      </c>
      <c r="T342" s="10" t="str">
        <f t="shared" si="297"/>
        <v>Bedgerabong Landfill</v>
      </c>
      <c r="U342" s="10" t="str">
        <f t="shared" si="298"/>
        <v>Garema Landfill</v>
      </c>
      <c r="V342" s="10" t="str">
        <f t="shared" si="299"/>
        <v>Ootha Landfill</v>
      </c>
      <c r="W342" s="10">
        <f t="shared" si="300"/>
        <v>0</v>
      </c>
      <c r="X342" s="10">
        <f t="shared" si="301"/>
        <v>0</v>
      </c>
      <c r="Y342" s="10">
        <f t="shared" si="302"/>
        <v>0</v>
      </c>
      <c r="Z342" s="10">
        <f t="shared" si="303"/>
        <v>0</v>
      </c>
      <c r="AA342" s="10">
        <f t="shared" si="304"/>
        <v>0</v>
      </c>
      <c r="AB342" s="10">
        <f t="shared" si="305"/>
        <v>0</v>
      </c>
      <c r="AC342" s="10">
        <f t="shared" si="306"/>
        <v>0</v>
      </c>
      <c r="AD342" s="10">
        <f t="shared" si="307"/>
        <v>0</v>
      </c>
      <c r="AE342" s="10">
        <f t="shared" si="308"/>
        <v>0</v>
      </c>
      <c r="AF342" s="10">
        <f t="shared" si="309"/>
        <v>0</v>
      </c>
      <c r="AG342" s="10">
        <f t="shared" si="310"/>
        <v>0</v>
      </c>
      <c r="AH342" s="10">
        <f t="shared" si="311"/>
        <v>0</v>
      </c>
      <c r="AI342" s="10">
        <f t="shared" si="312"/>
        <v>0</v>
      </c>
      <c r="AJ342" s="10">
        <f t="shared" si="313"/>
        <v>0</v>
      </c>
      <c r="AK342" s="10">
        <f t="shared" si="314"/>
        <v>0</v>
      </c>
      <c r="AL342" s="10">
        <f t="shared" si="315"/>
        <v>0</v>
      </c>
      <c r="AM342" s="10">
        <f t="shared" si="316"/>
        <v>0</v>
      </c>
      <c r="AN342" s="46">
        <f t="shared" si="317"/>
        <v>0</v>
      </c>
      <c r="AO342" s="10">
        <f t="shared" si="318"/>
        <v>0</v>
      </c>
      <c r="AP342" s="10">
        <f t="shared" si="319"/>
        <v>0</v>
      </c>
      <c r="AQ342" s="10">
        <f t="shared" si="320"/>
        <v>0</v>
      </c>
      <c r="AR342" s="10">
        <f t="shared" si="321"/>
        <v>0</v>
      </c>
      <c r="AS342" s="10">
        <f t="shared" si="322"/>
        <v>0</v>
      </c>
      <c r="AT342" s="10">
        <f t="shared" si="323"/>
        <v>0</v>
      </c>
      <c r="AU342" s="10">
        <f t="shared" si="324"/>
        <v>0</v>
      </c>
      <c r="AV342" s="10">
        <f t="shared" si="325"/>
        <v>0</v>
      </c>
      <c r="AW342" s="10">
        <f t="shared" si="326"/>
        <v>0</v>
      </c>
      <c r="AX342" s="10">
        <f t="shared" si="327"/>
        <v>0</v>
      </c>
    </row>
    <row r="343" spans="1:50" x14ac:dyDescent="0.2">
      <c r="A343" s="8">
        <v>12950</v>
      </c>
      <c r="B343" s="89" t="str">
        <f t="shared" si="279"/>
        <v>Gilgandra</v>
      </c>
      <c r="C343" s="9" t="str">
        <f t="shared" si="280"/>
        <v>NetWaste</v>
      </c>
      <c r="D343" s="51" t="str">
        <f t="shared" si="281"/>
        <v>N</v>
      </c>
      <c r="E343" s="10" t="str">
        <f t="shared" si="282"/>
        <v>OJO</v>
      </c>
      <c r="F343" s="10">
        <f t="shared" si="283"/>
        <v>4229</v>
      </c>
      <c r="G343" s="10">
        <f t="shared" si="284"/>
        <v>2415</v>
      </c>
      <c r="H343" s="10">
        <f t="shared" si="285"/>
        <v>1.7511387163561076</v>
      </c>
      <c r="I343" s="10">
        <f t="shared" si="286"/>
        <v>4831.5</v>
      </c>
      <c r="J343" s="10">
        <f t="shared" si="287"/>
        <v>0.9</v>
      </c>
      <c r="K343" s="10">
        <f t="shared" si="288"/>
        <v>441</v>
      </c>
      <c r="L343" s="10" t="str">
        <f t="shared" si="289"/>
        <v>Y</v>
      </c>
      <c r="M343" s="10">
        <f t="shared" si="290"/>
        <v>1124</v>
      </c>
      <c r="N343" s="10">
        <f t="shared" si="291"/>
        <v>1144</v>
      </c>
      <c r="O343" s="10">
        <f t="shared" si="292"/>
        <v>0</v>
      </c>
      <c r="P343" s="10">
        <f t="shared" si="293"/>
        <v>0</v>
      </c>
      <c r="Q343" s="10">
        <f t="shared" si="294"/>
        <v>0</v>
      </c>
      <c r="R343" s="10" t="str">
        <f t="shared" si="295"/>
        <v>Yes</v>
      </c>
      <c r="S343" s="10" t="str">
        <f t="shared" si="296"/>
        <v>Gilgandra Community Recycling Centre Lot 100 Pines Drive Gilgandra NSW 2827</v>
      </c>
      <c r="T343" s="10">
        <f t="shared" si="297"/>
        <v>0</v>
      </c>
      <c r="U343" s="10">
        <f t="shared" si="298"/>
        <v>0</v>
      </c>
      <c r="V343" s="10">
        <f t="shared" si="299"/>
        <v>0</v>
      </c>
      <c r="W343" s="10">
        <f t="shared" si="300"/>
        <v>0</v>
      </c>
      <c r="X343" s="10">
        <f t="shared" si="301"/>
        <v>0</v>
      </c>
      <c r="Y343" s="10">
        <f t="shared" si="302"/>
        <v>0</v>
      </c>
      <c r="Z343" s="10">
        <f t="shared" si="303"/>
        <v>0</v>
      </c>
      <c r="AA343" s="10">
        <f t="shared" si="304"/>
        <v>0</v>
      </c>
      <c r="AB343" s="10">
        <f t="shared" si="305"/>
        <v>0</v>
      </c>
      <c r="AC343" s="10">
        <f t="shared" si="306"/>
        <v>0</v>
      </c>
      <c r="AD343" s="10">
        <f t="shared" si="307"/>
        <v>0</v>
      </c>
      <c r="AE343" s="10">
        <f t="shared" si="308"/>
        <v>0</v>
      </c>
      <c r="AF343" s="10">
        <f t="shared" si="309"/>
        <v>0</v>
      </c>
      <c r="AG343" s="10">
        <f t="shared" si="310"/>
        <v>0</v>
      </c>
      <c r="AH343" s="10">
        <f t="shared" si="311"/>
        <v>0</v>
      </c>
      <c r="AI343" s="10">
        <f t="shared" si="312"/>
        <v>0</v>
      </c>
      <c r="AJ343" s="10">
        <f t="shared" si="313"/>
        <v>0</v>
      </c>
      <c r="AK343" s="10">
        <f t="shared" si="314"/>
        <v>0</v>
      </c>
      <c r="AL343" s="10">
        <f t="shared" si="315"/>
        <v>0</v>
      </c>
      <c r="AM343" s="10">
        <f t="shared" si="316"/>
        <v>0</v>
      </c>
      <c r="AN343" s="46">
        <f t="shared" si="317"/>
        <v>0</v>
      </c>
      <c r="AO343" s="10">
        <f t="shared" si="318"/>
        <v>0</v>
      </c>
      <c r="AP343" s="10">
        <f t="shared" si="319"/>
        <v>0</v>
      </c>
      <c r="AQ343" s="10">
        <f t="shared" si="320"/>
        <v>0</v>
      </c>
      <c r="AR343" s="10">
        <f t="shared" si="321"/>
        <v>0</v>
      </c>
      <c r="AS343" s="10">
        <f t="shared" si="322"/>
        <v>0</v>
      </c>
      <c r="AT343" s="10">
        <f t="shared" si="323"/>
        <v>0</v>
      </c>
      <c r="AU343" s="10">
        <f t="shared" si="324"/>
        <v>0</v>
      </c>
      <c r="AV343" s="10">
        <f t="shared" si="325"/>
        <v>0</v>
      </c>
      <c r="AW343" s="10">
        <f t="shared" si="326"/>
        <v>0</v>
      </c>
      <c r="AX343" s="10">
        <f t="shared" si="327"/>
        <v>0</v>
      </c>
    </row>
    <row r="344" spans="1:50" x14ac:dyDescent="0.2">
      <c r="A344" s="8">
        <v>13010</v>
      </c>
      <c r="B344" s="89" t="str">
        <f t="shared" si="279"/>
        <v>Glen Innes Severn</v>
      </c>
      <c r="C344" s="9" t="str">
        <f t="shared" si="280"/>
        <v>NIRW</v>
      </c>
      <c r="D344" s="51" t="str">
        <f t="shared" si="281"/>
        <v>N</v>
      </c>
      <c r="E344" s="10" t="str">
        <f t="shared" si="282"/>
        <v>NEJO</v>
      </c>
      <c r="F344" s="10">
        <f t="shared" si="283"/>
        <v>8873</v>
      </c>
      <c r="G344" s="10">
        <f t="shared" si="284"/>
        <v>5428</v>
      </c>
      <c r="H344" s="10">
        <f t="shared" si="285"/>
        <v>1.6346720707442888</v>
      </c>
      <c r="I344" s="10">
        <f t="shared" si="286"/>
        <v>5480</v>
      </c>
      <c r="J344" s="10">
        <f t="shared" si="287"/>
        <v>1.6</v>
      </c>
      <c r="K344" s="10">
        <f t="shared" si="288"/>
        <v>325</v>
      </c>
      <c r="L344" s="10" t="str">
        <f t="shared" si="289"/>
        <v>Y</v>
      </c>
      <c r="M344" s="10">
        <f t="shared" si="290"/>
        <v>3774</v>
      </c>
      <c r="N344" s="10">
        <f t="shared" si="291"/>
        <v>2804</v>
      </c>
      <c r="O344" s="10">
        <f t="shared" si="292"/>
        <v>0</v>
      </c>
      <c r="P344" s="10">
        <f t="shared" si="293"/>
        <v>0</v>
      </c>
      <c r="Q344" s="10">
        <f t="shared" si="294"/>
        <v>0</v>
      </c>
      <c r="R344" s="10" t="str">
        <f t="shared" si="295"/>
        <v>Yes</v>
      </c>
      <c r="S344" s="10">
        <f t="shared" si="296"/>
        <v>0</v>
      </c>
      <c r="T344" s="10">
        <f t="shared" si="297"/>
        <v>0</v>
      </c>
      <c r="U344" s="10">
        <f t="shared" si="298"/>
        <v>0</v>
      </c>
      <c r="V344" s="10">
        <f t="shared" si="299"/>
        <v>0</v>
      </c>
      <c r="W344" s="10">
        <f t="shared" si="300"/>
        <v>0</v>
      </c>
      <c r="X344" s="10">
        <f t="shared" si="301"/>
        <v>0</v>
      </c>
      <c r="Y344" s="10">
        <f t="shared" si="302"/>
        <v>0</v>
      </c>
      <c r="Z344" s="10">
        <f t="shared" si="303"/>
        <v>0</v>
      </c>
      <c r="AA344" s="10">
        <f t="shared" si="304"/>
        <v>0</v>
      </c>
      <c r="AB344" s="10">
        <f t="shared" si="305"/>
        <v>0</v>
      </c>
      <c r="AC344" s="10">
        <f t="shared" si="306"/>
        <v>0</v>
      </c>
      <c r="AD344" s="10">
        <f t="shared" si="307"/>
        <v>0</v>
      </c>
      <c r="AE344" s="10">
        <f t="shared" si="308"/>
        <v>0</v>
      </c>
      <c r="AF344" s="10">
        <f t="shared" si="309"/>
        <v>0</v>
      </c>
      <c r="AG344" s="10">
        <f t="shared" si="310"/>
        <v>0</v>
      </c>
      <c r="AH344" s="10">
        <f t="shared" si="311"/>
        <v>0</v>
      </c>
      <c r="AI344" s="10">
        <f t="shared" si="312"/>
        <v>0</v>
      </c>
      <c r="AJ344" s="10">
        <f t="shared" si="313"/>
        <v>0</v>
      </c>
      <c r="AK344" s="10">
        <f t="shared" si="314"/>
        <v>0</v>
      </c>
      <c r="AL344" s="10">
        <f t="shared" si="315"/>
        <v>0</v>
      </c>
      <c r="AM344" s="10">
        <f t="shared" si="316"/>
        <v>0</v>
      </c>
      <c r="AN344" s="46">
        <f t="shared" si="317"/>
        <v>0</v>
      </c>
      <c r="AO344" s="10">
        <f t="shared" si="318"/>
        <v>0</v>
      </c>
      <c r="AP344" s="10">
        <f t="shared" si="319"/>
        <v>0</v>
      </c>
      <c r="AQ344" s="10">
        <f t="shared" si="320"/>
        <v>0</v>
      </c>
      <c r="AR344" s="10">
        <f t="shared" si="321"/>
        <v>0</v>
      </c>
      <c r="AS344" s="10">
        <f t="shared" si="322"/>
        <v>0</v>
      </c>
      <c r="AT344" s="10">
        <f t="shared" si="323"/>
        <v>0</v>
      </c>
      <c r="AU344" s="10">
        <f t="shared" si="324"/>
        <v>0</v>
      </c>
      <c r="AV344" s="10">
        <f t="shared" si="325"/>
        <v>0</v>
      </c>
      <c r="AW344" s="10">
        <f t="shared" si="326"/>
        <v>0</v>
      </c>
      <c r="AX344" s="10">
        <f t="shared" si="327"/>
        <v>0</v>
      </c>
    </row>
    <row r="345" spans="1:50" x14ac:dyDescent="0.2">
      <c r="A345" s="8">
        <v>13310</v>
      </c>
      <c r="B345" s="89" t="str">
        <f t="shared" si="279"/>
        <v>Goulburn Mulwaree</v>
      </c>
      <c r="C345" s="9" t="str">
        <f t="shared" si="280"/>
        <v>CRJO</v>
      </c>
      <c r="D345" s="51" t="str">
        <f t="shared" si="281"/>
        <v>N</v>
      </c>
      <c r="E345" s="10" t="str">
        <f t="shared" si="282"/>
        <v>CRJO</v>
      </c>
      <c r="F345" s="10">
        <f t="shared" si="283"/>
        <v>31554</v>
      </c>
      <c r="G345" s="10">
        <f t="shared" si="284"/>
        <v>16761</v>
      </c>
      <c r="H345" s="10">
        <f t="shared" si="285"/>
        <v>1.8825845713262932</v>
      </c>
      <c r="I345" s="10">
        <f t="shared" si="286"/>
        <v>3220.1</v>
      </c>
      <c r="J345" s="10">
        <f t="shared" si="287"/>
        <v>9.8000000000000007</v>
      </c>
      <c r="K345" s="10">
        <f t="shared" si="288"/>
        <v>381</v>
      </c>
      <c r="L345" s="10" t="str">
        <f t="shared" si="289"/>
        <v>Y</v>
      </c>
      <c r="M345" s="10">
        <f t="shared" si="290"/>
        <v>10400</v>
      </c>
      <c r="N345" s="10">
        <f t="shared" si="291"/>
        <v>10390</v>
      </c>
      <c r="O345" s="10">
        <f t="shared" si="292"/>
        <v>0</v>
      </c>
      <c r="P345" s="10">
        <f t="shared" si="293"/>
        <v>10390</v>
      </c>
      <c r="Q345" s="10">
        <f t="shared" si="294"/>
        <v>16761</v>
      </c>
      <c r="R345" s="10" t="str">
        <f t="shared" si="295"/>
        <v>Yes</v>
      </c>
      <c r="S345" s="10" t="str">
        <f t="shared" si="296"/>
        <v>Goulburn Waste Management Centre, 100 Sinclair St Goulburn</v>
      </c>
      <c r="T345" s="10" t="str">
        <f t="shared" si="297"/>
        <v>Marulan Waste Management Centre, Wilson Dr Marulan</v>
      </c>
      <c r="U345" s="10" t="str">
        <f t="shared" si="298"/>
        <v>Tarago Waste Management Centre, Lumley Rd Tarago</v>
      </c>
      <c r="V345" s="10">
        <f t="shared" si="299"/>
        <v>0</v>
      </c>
      <c r="W345" s="10">
        <f t="shared" si="300"/>
        <v>0</v>
      </c>
      <c r="X345" s="10">
        <f t="shared" si="301"/>
        <v>0</v>
      </c>
      <c r="Y345" s="10">
        <f t="shared" si="302"/>
        <v>0</v>
      </c>
      <c r="Z345" s="10">
        <f t="shared" si="303"/>
        <v>0</v>
      </c>
      <c r="AA345" s="10">
        <f t="shared" si="304"/>
        <v>0</v>
      </c>
      <c r="AB345" s="10">
        <f t="shared" si="305"/>
        <v>0</v>
      </c>
      <c r="AC345" s="10">
        <f t="shared" si="306"/>
        <v>0</v>
      </c>
      <c r="AD345" s="10">
        <f t="shared" si="307"/>
        <v>0</v>
      </c>
      <c r="AE345" s="10">
        <f t="shared" si="308"/>
        <v>0</v>
      </c>
      <c r="AF345" s="10">
        <f t="shared" si="309"/>
        <v>0</v>
      </c>
      <c r="AG345" s="10">
        <f t="shared" si="310"/>
        <v>0</v>
      </c>
      <c r="AH345" s="10">
        <f t="shared" si="311"/>
        <v>0</v>
      </c>
      <c r="AI345" s="10">
        <f t="shared" si="312"/>
        <v>0</v>
      </c>
      <c r="AJ345" s="10">
        <f t="shared" si="313"/>
        <v>0</v>
      </c>
      <c r="AK345" s="10">
        <f t="shared" si="314"/>
        <v>0</v>
      </c>
      <c r="AL345" s="10">
        <f t="shared" si="315"/>
        <v>0</v>
      </c>
      <c r="AM345" s="10">
        <f t="shared" si="316"/>
        <v>0</v>
      </c>
      <c r="AN345" s="46">
        <f t="shared" si="317"/>
        <v>0</v>
      </c>
      <c r="AO345" s="10">
        <f t="shared" si="318"/>
        <v>0</v>
      </c>
      <c r="AP345" s="10">
        <f t="shared" si="319"/>
        <v>0</v>
      </c>
      <c r="AQ345" s="10">
        <f t="shared" si="320"/>
        <v>0</v>
      </c>
      <c r="AR345" s="10">
        <f t="shared" si="321"/>
        <v>0</v>
      </c>
      <c r="AS345" s="10">
        <f t="shared" si="322"/>
        <v>0</v>
      </c>
      <c r="AT345" s="10">
        <f t="shared" si="323"/>
        <v>0</v>
      </c>
      <c r="AU345" s="10">
        <f t="shared" si="324"/>
        <v>0</v>
      </c>
      <c r="AV345" s="10">
        <f t="shared" si="325"/>
        <v>0</v>
      </c>
      <c r="AW345" s="10">
        <f t="shared" si="326"/>
        <v>0</v>
      </c>
      <c r="AX345" s="10">
        <f t="shared" si="327"/>
        <v>0</v>
      </c>
    </row>
    <row r="346" spans="1:50" x14ac:dyDescent="0.2">
      <c r="A346" s="8">
        <v>13340</v>
      </c>
      <c r="B346" s="89" t="str">
        <f t="shared" si="279"/>
        <v>Greater Hume Shire</v>
      </c>
      <c r="C346" s="9" t="str">
        <f t="shared" si="280"/>
        <v>REROC</v>
      </c>
      <c r="D346" s="51" t="str">
        <f t="shared" si="281"/>
        <v>N</v>
      </c>
      <c r="E346" s="10" t="str">
        <f t="shared" si="282"/>
        <v>RJO</v>
      </c>
      <c r="F346" s="10">
        <f t="shared" si="283"/>
        <v>10841</v>
      </c>
      <c r="G346" s="10">
        <f t="shared" si="284"/>
        <v>6690</v>
      </c>
      <c r="H346" s="10">
        <f t="shared" si="285"/>
        <v>1.6204783258594917</v>
      </c>
      <c r="I346" s="10">
        <f t="shared" si="286"/>
        <v>5749.5</v>
      </c>
      <c r="J346" s="10">
        <f t="shared" si="287"/>
        <v>1.9</v>
      </c>
      <c r="K346" s="10">
        <f t="shared" si="288"/>
        <v>272</v>
      </c>
      <c r="L346" s="10" t="str">
        <f t="shared" si="289"/>
        <v>Y</v>
      </c>
      <c r="M346" s="10">
        <f t="shared" si="290"/>
        <v>3854</v>
      </c>
      <c r="N346" s="10">
        <f t="shared" si="291"/>
        <v>3724</v>
      </c>
      <c r="O346" s="10">
        <f t="shared" si="292"/>
        <v>0</v>
      </c>
      <c r="P346" s="10">
        <f t="shared" si="293"/>
        <v>0</v>
      </c>
      <c r="Q346" s="10">
        <f t="shared" si="294"/>
        <v>0</v>
      </c>
      <c r="R346" s="10" t="str">
        <f t="shared" si="295"/>
        <v>Yes</v>
      </c>
      <c r="S346" s="10" t="str">
        <f t="shared" si="296"/>
        <v>Culcairn landfill</v>
      </c>
      <c r="T346" s="10" t="str">
        <f t="shared" si="297"/>
        <v>Brocklesby Transfer Station</v>
      </c>
      <c r="U346" s="10" t="str">
        <f t="shared" si="298"/>
        <v>Gerogery transfer Station</v>
      </c>
      <c r="V346" s="10" t="str">
        <f t="shared" si="299"/>
        <v>Burrumbuttock Transfer Station</v>
      </c>
      <c r="W346" s="10" t="str">
        <f t="shared" si="300"/>
        <v>Jindera  Transfer Station</v>
      </c>
      <c r="X346" s="10" t="str">
        <f t="shared" si="301"/>
        <v>Holbrook</v>
      </c>
      <c r="Y346" s="10" t="str">
        <f t="shared" si="302"/>
        <v>Henty  Transfer Station</v>
      </c>
      <c r="Z346" s="10">
        <f t="shared" si="303"/>
        <v>0</v>
      </c>
      <c r="AA346" s="10">
        <f t="shared" si="304"/>
        <v>0</v>
      </c>
      <c r="AB346" s="10">
        <f t="shared" si="305"/>
        <v>0</v>
      </c>
      <c r="AC346" s="10">
        <f t="shared" si="306"/>
        <v>0</v>
      </c>
      <c r="AD346" s="10">
        <f t="shared" si="307"/>
        <v>0</v>
      </c>
      <c r="AE346" s="10">
        <f t="shared" si="308"/>
        <v>0</v>
      </c>
      <c r="AF346" s="10">
        <f t="shared" si="309"/>
        <v>0</v>
      </c>
      <c r="AG346" s="10">
        <f t="shared" si="310"/>
        <v>0</v>
      </c>
      <c r="AH346" s="10">
        <f t="shared" si="311"/>
        <v>0</v>
      </c>
      <c r="AI346" s="10">
        <f t="shared" si="312"/>
        <v>0</v>
      </c>
      <c r="AJ346" s="10">
        <f t="shared" si="313"/>
        <v>0</v>
      </c>
      <c r="AK346" s="10">
        <f t="shared" si="314"/>
        <v>0</v>
      </c>
      <c r="AL346" s="10">
        <f t="shared" si="315"/>
        <v>0</v>
      </c>
      <c r="AM346" s="10">
        <f t="shared" si="316"/>
        <v>0</v>
      </c>
      <c r="AN346" s="46">
        <f t="shared" si="317"/>
        <v>0</v>
      </c>
      <c r="AO346" s="10">
        <f t="shared" si="318"/>
        <v>0</v>
      </c>
      <c r="AP346" s="10">
        <f t="shared" si="319"/>
        <v>0</v>
      </c>
      <c r="AQ346" s="10">
        <f t="shared" si="320"/>
        <v>0</v>
      </c>
      <c r="AR346" s="10">
        <f t="shared" si="321"/>
        <v>0</v>
      </c>
      <c r="AS346" s="10">
        <f t="shared" si="322"/>
        <v>0</v>
      </c>
      <c r="AT346" s="10">
        <f t="shared" si="323"/>
        <v>0</v>
      </c>
      <c r="AU346" s="10">
        <f t="shared" si="324"/>
        <v>0</v>
      </c>
      <c r="AV346" s="10">
        <f t="shared" si="325"/>
        <v>0</v>
      </c>
      <c r="AW346" s="10">
        <f t="shared" si="326"/>
        <v>0</v>
      </c>
      <c r="AX346" s="10">
        <f t="shared" si="327"/>
        <v>0</v>
      </c>
    </row>
    <row r="347" spans="1:50" x14ac:dyDescent="0.2">
      <c r="A347" s="8">
        <v>13450</v>
      </c>
      <c r="B347" s="89" t="str">
        <f t="shared" si="279"/>
        <v>Griffith</v>
      </c>
      <c r="C347" s="9" t="str">
        <f t="shared" si="280"/>
        <v>RAMJO Riverina</v>
      </c>
      <c r="D347" s="51" t="str">
        <f t="shared" si="281"/>
        <v>N</v>
      </c>
      <c r="E347" s="10" t="str">
        <f t="shared" si="282"/>
        <v>RMJO</v>
      </c>
      <c r="F347" s="10">
        <f t="shared" si="283"/>
        <v>27155</v>
      </c>
      <c r="G347" s="10">
        <f t="shared" si="284"/>
        <v>13653</v>
      </c>
      <c r="H347" s="10">
        <f t="shared" si="285"/>
        <v>1.988940159671867</v>
      </c>
      <c r="I347" s="10">
        <f t="shared" si="286"/>
        <v>1639.2</v>
      </c>
      <c r="J347" s="10">
        <f t="shared" si="287"/>
        <v>16.600000000000001</v>
      </c>
      <c r="K347" s="10">
        <f t="shared" si="288"/>
        <v>315</v>
      </c>
      <c r="L347" s="10" t="str">
        <f t="shared" si="289"/>
        <v>Y</v>
      </c>
      <c r="M347" s="10">
        <f t="shared" si="290"/>
        <v>8594</v>
      </c>
      <c r="N347" s="10">
        <f t="shared" si="291"/>
        <v>8147</v>
      </c>
      <c r="O347" s="10">
        <f t="shared" si="292"/>
        <v>0</v>
      </c>
      <c r="P347" s="10">
        <f t="shared" si="293"/>
        <v>0</v>
      </c>
      <c r="Q347" s="10">
        <f t="shared" si="294"/>
        <v>0</v>
      </c>
      <c r="R347" s="10" t="str">
        <f t="shared" si="295"/>
        <v>Yes</v>
      </c>
      <c r="S347" s="10" t="str">
        <f t="shared" si="296"/>
        <v>Tharbogang Waste Transfer Station</v>
      </c>
      <c r="T347" s="10" t="str">
        <f t="shared" si="297"/>
        <v>Yenda Waste Transfer Station</v>
      </c>
      <c r="U347" s="10">
        <f t="shared" si="298"/>
        <v>0</v>
      </c>
      <c r="V347" s="10">
        <f t="shared" si="299"/>
        <v>0</v>
      </c>
      <c r="W347" s="10">
        <f t="shared" si="300"/>
        <v>0</v>
      </c>
      <c r="X347" s="10">
        <f t="shared" si="301"/>
        <v>0</v>
      </c>
      <c r="Y347" s="10">
        <f t="shared" si="302"/>
        <v>0</v>
      </c>
      <c r="Z347" s="10">
        <f t="shared" si="303"/>
        <v>0</v>
      </c>
      <c r="AA347" s="10">
        <f t="shared" si="304"/>
        <v>0</v>
      </c>
      <c r="AB347" s="10">
        <f t="shared" si="305"/>
        <v>0</v>
      </c>
      <c r="AC347" s="10">
        <f t="shared" si="306"/>
        <v>0</v>
      </c>
      <c r="AD347" s="10">
        <f t="shared" si="307"/>
        <v>0</v>
      </c>
      <c r="AE347" s="10">
        <f t="shared" si="308"/>
        <v>0</v>
      </c>
      <c r="AF347" s="10">
        <f t="shared" si="309"/>
        <v>0</v>
      </c>
      <c r="AG347" s="10">
        <f t="shared" si="310"/>
        <v>0</v>
      </c>
      <c r="AH347" s="10">
        <f t="shared" si="311"/>
        <v>0</v>
      </c>
      <c r="AI347" s="10">
        <f t="shared" si="312"/>
        <v>0</v>
      </c>
      <c r="AJ347" s="10">
        <f t="shared" si="313"/>
        <v>0</v>
      </c>
      <c r="AK347" s="10">
        <f t="shared" si="314"/>
        <v>0</v>
      </c>
      <c r="AL347" s="10">
        <f t="shared" si="315"/>
        <v>0</v>
      </c>
      <c r="AM347" s="10">
        <f t="shared" si="316"/>
        <v>0</v>
      </c>
      <c r="AN347" s="46">
        <f t="shared" si="317"/>
        <v>0</v>
      </c>
      <c r="AO347" s="10">
        <f t="shared" si="318"/>
        <v>0</v>
      </c>
      <c r="AP347" s="10">
        <f t="shared" si="319"/>
        <v>0</v>
      </c>
      <c r="AQ347" s="10">
        <f t="shared" si="320"/>
        <v>0</v>
      </c>
      <c r="AR347" s="10">
        <f t="shared" si="321"/>
        <v>0</v>
      </c>
      <c r="AS347" s="10">
        <f t="shared" si="322"/>
        <v>0</v>
      </c>
      <c r="AT347" s="10">
        <f t="shared" si="323"/>
        <v>0</v>
      </c>
      <c r="AU347" s="10">
        <f t="shared" si="324"/>
        <v>0</v>
      </c>
      <c r="AV347" s="10">
        <f t="shared" si="325"/>
        <v>0</v>
      </c>
      <c r="AW347" s="10">
        <f t="shared" si="326"/>
        <v>0</v>
      </c>
      <c r="AX347" s="10">
        <f t="shared" si="327"/>
        <v>0</v>
      </c>
    </row>
    <row r="348" spans="1:50" x14ac:dyDescent="0.2">
      <c r="A348" s="8">
        <v>13550</v>
      </c>
      <c r="B348" s="89" t="str">
        <f t="shared" si="279"/>
        <v>Gunnedah</v>
      </c>
      <c r="C348" s="9" t="str">
        <f t="shared" si="280"/>
        <v>NIRW</v>
      </c>
      <c r="D348" s="51" t="str">
        <f t="shared" si="281"/>
        <v>N</v>
      </c>
      <c r="E348" s="10" t="str">
        <f t="shared" si="282"/>
        <v>NJO</v>
      </c>
      <c r="F348" s="10">
        <f t="shared" si="283"/>
        <v>12690</v>
      </c>
      <c r="G348" s="10">
        <f t="shared" si="284"/>
        <v>4804</v>
      </c>
      <c r="H348" s="10">
        <f t="shared" si="285"/>
        <v>2.6415487094088261</v>
      </c>
      <c r="I348" s="10">
        <f t="shared" si="286"/>
        <v>4987</v>
      </c>
      <c r="J348" s="10">
        <f t="shared" si="287"/>
        <v>2.5</v>
      </c>
      <c r="K348" s="10">
        <f t="shared" si="288"/>
        <v>425</v>
      </c>
      <c r="L348" s="10" t="str">
        <f t="shared" si="289"/>
        <v>Y</v>
      </c>
      <c r="M348" s="10">
        <f t="shared" si="290"/>
        <v>4487</v>
      </c>
      <c r="N348" s="10">
        <f t="shared" si="291"/>
        <v>4456</v>
      </c>
      <c r="O348" s="10">
        <f t="shared" si="292"/>
        <v>3494</v>
      </c>
      <c r="P348" s="10">
        <f t="shared" si="293"/>
        <v>0</v>
      </c>
      <c r="Q348" s="10">
        <f t="shared" si="294"/>
        <v>0</v>
      </c>
      <c r="R348" s="10" t="str">
        <f t="shared" si="295"/>
        <v>Yes</v>
      </c>
      <c r="S348" s="10" t="str">
        <f t="shared" si="296"/>
        <v>Gunnedah</v>
      </c>
      <c r="T348" s="10" t="str">
        <f t="shared" si="297"/>
        <v>Curlewis</v>
      </c>
      <c r="U348" s="10" t="str">
        <f t="shared" si="298"/>
        <v>Carroll</v>
      </c>
      <c r="V348" s="10" t="str">
        <f t="shared" si="299"/>
        <v>Mulllaley</v>
      </c>
      <c r="W348" s="10" t="str">
        <f t="shared" si="300"/>
        <v>Tambar Springs</v>
      </c>
      <c r="X348" s="10">
        <f t="shared" si="301"/>
        <v>0</v>
      </c>
      <c r="Y348" s="10">
        <f t="shared" si="302"/>
        <v>0</v>
      </c>
      <c r="Z348" s="10">
        <f t="shared" si="303"/>
        <v>0</v>
      </c>
      <c r="AA348" s="10">
        <f t="shared" si="304"/>
        <v>0</v>
      </c>
      <c r="AB348" s="10">
        <f t="shared" si="305"/>
        <v>0</v>
      </c>
      <c r="AC348" s="10">
        <f t="shared" si="306"/>
        <v>0</v>
      </c>
      <c r="AD348" s="10">
        <f t="shared" si="307"/>
        <v>0</v>
      </c>
      <c r="AE348" s="10">
        <f t="shared" si="308"/>
        <v>0</v>
      </c>
      <c r="AF348" s="10">
        <f t="shared" si="309"/>
        <v>0</v>
      </c>
      <c r="AG348" s="10">
        <f t="shared" si="310"/>
        <v>0</v>
      </c>
      <c r="AH348" s="10">
        <f t="shared" si="311"/>
        <v>0</v>
      </c>
      <c r="AI348" s="10">
        <f t="shared" si="312"/>
        <v>0</v>
      </c>
      <c r="AJ348" s="10">
        <f t="shared" si="313"/>
        <v>0</v>
      </c>
      <c r="AK348" s="10">
        <f t="shared" si="314"/>
        <v>0</v>
      </c>
      <c r="AL348" s="10">
        <f t="shared" si="315"/>
        <v>0</v>
      </c>
      <c r="AM348" s="10">
        <f t="shared" si="316"/>
        <v>0</v>
      </c>
      <c r="AN348" s="46">
        <f t="shared" si="317"/>
        <v>0</v>
      </c>
      <c r="AO348" s="10">
        <f t="shared" si="318"/>
        <v>0</v>
      </c>
      <c r="AP348" s="10">
        <f t="shared" si="319"/>
        <v>0</v>
      </c>
      <c r="AQ348" s="10">
        <f t="shared" si="320"/>
        <v>0</v>
      </c>
      <c r="AR348" s="10">
        <f t="shared" si="321"/>
        <v>0</v>
      </c>
      <c r="AS348" s="10">
        <f t="shared" si="322"/>
        <v>0</v>
      </c>
      <c r="AT348" s="10">
        <f t="shared" si="323"/>
        <v>0</v>
      </c>
      <c r="AU348" s="10">
        <f t="shared" si="324"/>
        <v>0</v>
      </c>
      <c r="AV348" s="10">
        <f t="shared" si="325"/>
        <v>0</v>
      </c>
      <c r="AW348" s="10">
        <f t="shared" si="326"/>
        <v>0</v>
      </c>
      <c r="AX348" s="10">
        <f t="shared" si="327"/>
        <v>0</v>
      </c>
    </row>
    <row r="349" spans="1:50" x14ac:dyDescent="0.2">
      <c r="A349" s="8">
        <v>13660</v>
      </c>
      <c r="B349" s="89" t="str">
        <f t="shared" si="279"/>
        <v>Gwydir</v>
      </c>
      <c r="C349" s="9" t="str">
        <f t="shared" si="280"/>
        <v>NIRW</v>
      </c>
      <c r="D349" s="51" t="str">
        <f t="shared" si="281"/>
        <v>N</v>
      </c>
      <c r="E349" s="10" t="str">
        <f t="shared" si="282"/>
        <v>NJO</v>
      </c>
      <c r="F349" s="10">
        <f t="shared" si="283"/>
        <v>5299</v>
      </c>
      <c r="G349" s="10">
        <f t="shared" si="284"/>
        <v>3287</v>
      </c>
      <c r="H349" s="10">
        <f t="shared" si="285"/>
        <v>1.6121083054456951</v>
      </c>
      <c r="I349" s="10">
        <f t="shared" si="286"/>
        <v>9259.7000000000007</v>
      </c>
      <c r="J349" s="10">
        <f t="shared" si="287"/>
        <v>0.6</v>
      </c>
      <c r="K349" s="10">
        <f t="shared" si="288"/>
        <v>365</v>
      </c>
      <c r="L349" s="10" t="str">
        <f t="shared" si="289"/>
        <v>Y</v>
      </c>
      <c r="M349" s="10">
        <f t="shared" si="290"/>
        <v>1488</v>
      </c>
      <c r="N349" s="10">
        <f t="shared" si="291"/>
        <v>1476</v>
      </c>
      <c r="O349" s="10">
        <f t="shared" si="292"/>
        <v>0</v>
      </c>
      <c r="P349" s="10">
        <f t="shared" si="293"/>
        <v>1422</v>
      </c>
      <c r="Q349" s="10">
        <f t="shared" si="294"/>
        <v>0</v>
      </c>
      <c r="R349" s="10" t="str">
        <f t="shared" si="295"/>
        <v>Yes</v>
      </c>
      <c r="S349" s="10" t="str">
        <f t="shared" si="296"/>
        <v>Bingara Landfill 10018 Killarney Gap Road, Bingara, NSW - 2404</v>
      </c>
      <c r="T349" s="10" t="str">
        <f t="shared" si="297"/>
        <v>Warialda Waste Resource Recovery Facility 404 Rubbish Depot, Warialda, NSW 2402</v>
      </c>
      <c r="U349" s="10" t="str">
        <f t="shared" si="298"/>
        <v>Coolatai Landfill 4145 Warialda Road, Coolatai, NSW - 2402</v>
      </c>
      <c r="V349" s="10" t="str">
        <f t="shared" si="299"/>
        <v>Croppa Creek Landfill 2995 Buckie Road, Croppa Creek, NSW - 2411</v>
      </c>
      <c r="W349" s="10" t="str">
        <f t="shared" si="300"/>
        <v>Warialda Rail Landfill MR63 Bingara Road, Warialda Rail, NSW - 2402</v>
      </c>
      <c r="X349" s="10" t="str">
        <f t="shared" si="301"/>
        <v>Upper Horton Landfill 55 Hall Street Upper Horton, NSW 2347</v>
      </c>
      <c r="Y349" s="10" t="str">
        <f t="shared" si="302"/>
        <v>Gravesend Garbage Depot Pump Station Road, Gravesend, NSW - 2401</v>
      </c>
      <c r="Z349" s="10">
        <f t="shared" si="303"/>
        <v>0</v>
      </c>
      <c r="AA349" s="10">
        <f t="shared" si="304"/>
        <v>0</v>
      </c>
      <c r="AB349" s="10">
        <f t="shared" si="305"/>
        <v>0</v>
      </c>
      <c r="AC349" s="10">
        <f t="shared" si="306"/>
        <v>0</v>
      </c>
      <c r="AD349" s="10">
        <f t="shared" si="307"/>
        <v>0</v>
      </c>
      <c r="AE349" s="10">
        <f t="shared" si="308"/>
        <v>0</v>
      </c>
      <c r="AF349" s="10">
        <f t="shared" si="309"/>
        <v>0</v>
      </c>
      <c r="AG349" s="10">
        <f t="shared" si="310"/>
        <v>0</v>
      </c>
      <c r="AH349" s="10">
        <f t="shared" si="311"/>
        <v>0</v>
      </c>
      <c r="AI349" s="10">
        <f t="shared" si="312"/>
        <v>0</v>
      </c>
      <c r="AJ349" s="10">
        <f t="shared" si="313"/>
        <v>0</v>
      </c>
      <c r="AK349" s="10">
        <f t="shared" si="314"/>
        <v>0</v>
      </c>
      <c r="AL349" s="10">
        <f t="shared" si="315"/>
        <v>0</v>
      </c>
      <c r="AM349" s="10">
        <f t="shared" si="316"/>
        <v>0</v>
      </c>
      <c r="AN349" s="46">
        <f t="shared" si="317"/>
        <v>0</v>
      </c>
      <c r="AO349" s="10">
        <f t="shared" si="318"/>
        <v>0</v>
      </c>
      <c r="AP349" s="10">
        <f t="shared" si="319"/>
        <v>0</v>
      </c>
      <c r="AQ349" s="10">
        <f t="shared" si="320"/>
        <v>0</v>
      </c>
      <c r="AR349" s="10">
        <f t="shared" si="321"/>
        <v>0</v>
      </c>
      <c r="AS349" s="10">
        <f t="shared" si="322"/>
        <v>0</v>
      </c>
      <c r="AT349" s="10">
        <f t="shared" si="323"/>
        <v>0</v>
      </c>
      <c r="AU349" s="10">
        <f t="shared" si="324"/>
        <v>0</v>
      </c>
      <c r="AV349" s="10">
        <f t="shared" si="325"/>
        <v>0</v>
      </c>
      <c r="AW349" s="10">
        <f t="shared" si="326"/>
        <v>0</v>
      </c>
      <c r="AX349" s="10">
        <f t="shared" si="327"/>
        <v>0</v>
      </c>
    </row>
    <row r="350" spans="1:50" x14ac:dyDescent="0.2">
      <c r="A350" s="8">
        <v>13850</v>
      </c>
      <c r="B350" s="89" t="str">
        <f t="shared" si="279"/>
        <v>Hay</v>
      </c>
      <c r="C350" s="9" t="str">
        <f t="shared" si="280"/>
        <v>RAMJO Riverina</v>
      </c>
      <c r="D350" s="51" t="str">
        <f t="shared" si="281"/>
        <v>N</v>
      </c>
      <c r="E350" s="10" t="str">
        <f t="shared" si="282"/>
        <v>RMJO</v>
      </c>
      <c r="F350" s="10">
        <f t="shared" si="283"/>
        <v>2943</v>
      </c>
      <c r="G350" s="10">
        <f t="shared" si="284"/>
        <v>1799</v>
      </c>
      <c r="H350" s="10">
        <f t="shared" si="285"/>
        <v>1.6359088382434686</v>
      </c>
      <c r="I350" s="10">
        <f t="shared" si="286"/>
        <v>11325.9</v>
      </c>
      <c r="J350" s="10">
        <f t="shared" si="287"/>
        <v>0.3</v>
      </c>
      <c r="K350" s="10">
        <f t="shared" si="288"/>
        <v>278</v>
      </c>
      <c r="L350" s="10" t="str">
        <f t="shared" si="289"/>
        <v>Y</v>
      </c>
      <c r="M350" s="10">
        <f t="shared" si="290"/>
        <v>1208</v>
      </c>
      <c r="N350" s="10">
        <f t="shared" si="291"/>
        <v>0</v>
      </c>
      <c r="O350" s="10">
        <f t="shared" si="292"/>
        <v>0</v>
      </c>
      <c r="P350" s="10">
        <f t="shared" si="293"/>
        <v>0</v>
      </c>
      <c r="Q350" s="10">
        <f t="shared" si="294"/>
        <v>0</v>
      </c>
      <c r="R350" s="10" t="str">
        <f t="shared" si="295"/>
        <v>Yes</v>
      </c>
      <c r="S350" s="10" t="str">
        <f t="shared" si="296"/>
        <v>Hay Shire Council Waste Transfer Station</v>
      </c>
      <c r="T350" s="10">
        <f t="shared" si="297"/>
        <v>0</v>
      </c>
      <c r="U350" s="10">
        <f t="shared" si="298"/>
        <v>0</v>
      </c>
      <c r="V350" s="10">
        <f t="shared" si="299"/>
        <v>0</v>
      </c>
      <c r="W350" s="10">
        <f t="shared" si="300"/>
        <v>0</v>
      </c>
      <c r="X350" s="10">
        <f t="shared" si="301"/>
        <v>0</v>
      </c>
      <c r="Y350" s="10">
        <f t="shared" si="302"/>
        <v>0</v>
      </c>
      <c r="Z350" s="10">
        <f t="shared" si="303"/>
        <v>0</v>
      </c>
      <c r="AA350" s="10">
        <f t="shared" si="304"/>
        <v>0</v>
      </c>
      <c r="AB350" s="10">
        <f t="shared" si="305"/>
        <v>0</v>
      </c>
      <c r="AC350" s="10">
        <f t="shared" si="306"/>
        <v>0</v>
      </c>
      <c r="AD350" s="10">
        <f t="shared" si="307"/>
        <v>0</v>
      </c>
      <c r="AE350" s="10">
        <f t="shared" si="308"/>
        <v>0</v>
      </c>
      <c r="AF350" s="10">
        <f t="shared" si="309"/>
        <v>0</v>
      </c>
      <c r="AG350" s="10">
        <f t="shared" si="310"/>
        <v>0</v>
      </c>
      <c r="AH350" s="10">
        <f t="shared" si="311"/>
        <v>0</v>
      </c>
      <c r="AI350" s="10">
        <f t="shared" si="312"/>
        <v>0</v>
      </c>
      <c r="AJ350" s="10">
        <f t="shared" si="313"/>
        <v>0</v>
      </c>
      <c r="AK350" s="10">
        <f t="shared" si="314"/>
        <v>0</v>
      </c>
      <c r="AL350" s="10">
        <f t="shared" si="315"/>
        <v>0</v>
      </c>
      <c r="AM350" s="10">
        <f t="shared" si="316"/>
        <v>0</v>
      </c>
      <c r="AN350" s="46">
        <f t="shared" si="317"/>
        <v>0</v>
      </c>
      <c r="AO350" s="10">
        <f t="shared" si="318"/>
        <v>0</v>
      </c>
      <c r="AP350" s="10">
        <f t="shared" si="319"/>
        <v>0</v>
      </c>
      <c r="AQ350" s="10">
        <f t="shared" si="320"/>
        <v>0</v>
      </c>
      <c r="AR350" s="10">
        <f t="shared" si="321"/>
        <v>0</v>
      </c>
      <c r="AS350" s="10">
        <f t="shared" si="322"/>
        <v>0</v>
      </c>
      <c r="AT350" s="10">
        <f t="shared" si="323"/>
        <v>0</v>
      </c>
      <c r="AU350" s="10">
        <f t="shared" si="324"/>
        <v>0</v>
      </c>
      <c r="AV350" s="10">
        <f t="shared" si="325"/>
        <v>0</v>
      </c>
      <c r="AW350" s="10">
        <f t="shared" si="326"/>
        <v>0</v>
      </c>
      <c r="AX350" s="10">
        <f t="shared" si="327"/>
        <v>0</v>
      </c>
    </row>
    <row r="351" spans="1:50" x14ac:dyDescent="0.2">
      <c r="A351" s="8">
        <v>13910</v>
      </c>
      <c r="B351" s="89" t="str">
        <f t="shared" si="279"/>
        <v>Hilltops</v>
      </c>
      <c r="C351" s="9" t="str">
        <f t="shared" si="280"/>
        <v>CRJO</v>
      </c>
      <c r="D351" s="51" t="str">
        <f t="shared" si="281"/>
        <v>N</v>
      </c>
      <c r="E351" s="10" t="str">
        <f t="shared" si="282"/>
        <v>CRJO</v>
      </c>
      <c r="F351" s="10">
        <f t="shared" si="283"/>
        <v>18617</v>
      </c>
      <c r="G351" s="10">
        <f t="shared" si="284"/>
        <v>11454</v>
      </c>
      <c r="H351" s="10">
        <f t="shared" si="285"/>
        <v>1.6253710494150515</v>
      </c>
      <c r="I351" s="10">
        <f t="shared" si="286"/>
        <v>7140.9</v>
      </c>
      <c r="J351" s="10">
        <f t="shared" si="287"/>
        <v>2.6</v>
      </c>
      <c r="K351" s="10">
        <f t="shared" si="288"/>
        <v>485.58</v>
      </c>
      <c r="L351" s="10" t="str">
        <f t="shared" si="289"/>
        <v>Y</v>
      </c>
      <c r="M351" s="10">
        <f t="shared" si="290"/>
        <v>10054</v>
      </c>
      <c r="N351" s="10">
        <f t="shared" si="291"/>
        <v>5054</v>
      </c>
      <c r="O351" s="10">
        <f t="shared" si="292"/>
        <v>4386</v>
      </c>
      <c r="P351" s="10">
        <f t="shared" si="293"/>
        <v>0</v>
      </c>
      <c r="Q351" s="10">
        <f t="shared" si="294"/>
        <v>0</v>
      </c>
      <c r="R351" s="10" t="str">
        <f t="shared" si="295"/>
        <v>Yes</v>
      </c>
      <c r="S351" s="10" t="str">
        <f t="shared" si="296"/>
        <v>Victoria Street</v>
      </c>
      <c r="T351" s="10" t="str">
        <f t="shared" si="297"/>
        <v>Red Hill</v>
      </c>
      <c r="U351" s="10" t="str">
        <f t="shared" si="298"/>
        <v>Boorowa</v>
      </c>
      <c r="V351" s="10" t="str">
        <f t="shared" si="299"/>
        <v>Murrumburrah</v>
      </c>
      <c r="W351" s="10" t="str">
        <f t="shared" si="300"/>
        <v>Transfer Stations VIllage</v>
      </c>
      <c r="X351" s="10" t="str">
        <f t="shared" si="301"/>
        <v>Village Landfills</v>
      </c>
      <c r="Y351" s="10">
        <f t="shared" si="302"/>
        <v>0</v>
      </c>
      <c r="Z351" s="10">
        <f t="shared" si="303"/>
        <v>0</v>
      </c>
      <c r="AA351" s="10">
        <f t="shared" si="304"/>
        <v>0</v>
      </c>
      <c r="AB351" s="10">
        <f t="shared" si="305"/>
        <v>0</v>
      </c>
      <c r="AC351" s="10">
        <f t="shared" si="306"/>
        <v>0</v>
      </c>
      <c r="AD351" s="10">
        <f t="shared" si="307"/>
        <v>0</v>
      </c>
      <c r="AE351" s="10">
        <f t="shared" si="308"/>
        <v>0</v>
      </c>
      <c r="AF351" s="10">
        <f t="shared" si="309"/>
        <v>0</v>
      </c>
      <c r="AG351" s="10">
        <f t="shared" si="310"/>
        <v>0</v>
      </c>
      <c r="AH351" s="10">
        <f t="shared" si="311"/>
        <v>0</v>
      </c>
      <c r="AI351" s="10">
        <f t="shared" si="312"/>
        <v>0</v>
      </c>
      <c r="AJ351" s="10">
        <f t="shared" si="313"/>
        <v>0</v>
      </c>
      <c r="AK351" s="10">
        <f t="shared" si="314"/>
        <v>0</v>
      </c>
      <c r="AL351" s="10">
        <f t="shared" si="315"/>
        <v>0</v>
      </c>
      <c r="AM351" s="10">
        <f t="shared" si="316"/>
        <v>0</v>
      </c>
      <c r="AN351" s="46">
        <f t="shared" si="317"/>
        <v>0</v>
      </c>
      <c r="AO351" s="10">
        <f t="shared" si="318"/>
        <v>0</v>
      </c>
      <c r="AP351" s="10">
        <f t="shared" si="319"/>
        <v>0</v>
      </c>
      <c r="AQ351" s="10">
        <f t="shared" si="320"/>
        <v>0</v>
      </c>
      <c r="AR351" s="10">
        <f t="shared" si="321"/>
        <v>0</v>
      </c>
      <c r="AS351" s="10">
        <f t="shared" si="322"/>
        <v>0</v>
      </c>
      <c r="AT351" s="10">
        <f t="shared" si="323"/>
        <v>0</v>
      </c>
      <c r="AU351" s="10">
        <f t="shared" si="324"/>
        <v>0</v>
      </c>
      <c r="AV351" s="10">
        <f t="shared" si="325"/>
        <v>0</v>
      </c>
      <c r="AW351" s="10">
        <f t="shared" si="326"/>
        <v>0</v>
      </c>
      <c r="AX351" s="10">
        <f t="shared" si="327"/>
        <v>0</v>
      </c>
    </row>
    <row r="352" spans="1:50" x14ac:dyDescent="0.2">
      <c r="A352" s="8">
        <v>14200</v>
      </c>
      <c r="B352" s="89" t="str">
        <f t="shared" si="279"/>
        <v>Inverell</v>
      </c>
      <c r="C352" s="9" t="str">
        <f t="shared" si="280"/>
        <v>NIRW</v>
      </c>
      <c r="D352" s="51" t="str">
        <f t="shared" si="281"/>
        <v>N</v>
      </c>
      <c r="E352" s="10" t="str">
        <f t="shared" si="282"/>
        <v>NEJO</v>
      </c>
      <c r="F352" s="10">
        <f t="shared" si="283"/>
        <v>17780</v>
      </c>
      <c r="G352" s="10">
        <f t="shared" si="284"/>
        <v>8587</v>
      </c>
      <c r="H352" s="10">
        <f t="shared" si="285"/>
        <v>2.0705717945731918</v>
      </c>
      <c r="I352" s="10">
        <f t="shared" si="286"/>
        <v>9408.5</v>
      </c>
      <c r="J352" s="10">
        <f t="shared" si="287"/>
        <v>1.9</v>
      </c>
      <c r="K352" s="10">
        <f t="shared" si="288"/>
        <v>340</v>
      </c>
      <c r="L352" s="10" t="str">
        <f t="shared" si="289"/>
        <v>Y</v>
      </c>
      <c r="M352" s="10">
        <f t="shared" si="290"/>
        <v>7115</v>
      </c>
      <c r="N352" s="10">
        <f t="shared" si="291"/>
        <v>7115</v>
      </c>
      <c r="O352" s="10">
        <f t="shared" si="292"/>
        <v>0</v>
      </c>
      <c r="P352" s="10">
        <f t="shared" si="293"/>
        <v>0</v>
      </c>
      <c r="Q352" s="10">
        <f t="shared" si="294"/>
        <v>8587</v>
      </c>
      <c r="R352" s="10" t="str">
        <f t="shared" si="295"/>
        <v>Yes</v>
      </c>
      <c r="S352" s="10" t="str">
        <f t="shared" si="296"/>
        <v>Inverell Landfill Burtenshaw Road Inverell</v>
      </c>
      <c r="T352" s="10" t="str">
        <f t="shared" si="297"/>
        <v>Ashford Waste Transfer Station, Limestone Road, Ashford</v>
      </c>
      <c r="U352" s="10" t="str">
        <f t="shared" si="298"/>
        <v>Bonshaw Waste Transfer Station, Campbells Road, Bonshaw</v>
      </c>
      <c r="V352" s="10" t="str">
        <f t="shared" si="299"/>
        <v>Delungra Waste Transfer Station, Haymarket Road, Delungra</v>
      </c>
      <c r="W352" s="10" t="str">
        <f t="shared" si="300"/>
        <v>Yetman Waste Transfer Station, Warialda Road, Yetman</v>
      </c>
      <c r="X352" s="10" t="str">
        <f t="shared" si="301"/>
        <v>Tingha Landfill, Kempton Road, Tingha</v>
      </c>
      <c r="Y352" s="10">
        <f t="shared" si="302"/>
        <v>0</v>
      </c>
      <c r="Z352" s="10">
        <f t="shared" si="303"/>
        <v>0</v>
      </c>
      <c r="AA352" s="10">
        <f t="shared" si="304"/>
        <v>0</v>
      </c>
      <c r="AB352" s="10">
        <f t="shared" si="305"/>
        <v>0</v>
      </c>
      <c r="AC352" s="10">
        <f t="shared" si="306"/>
        <v>0</v>
      </c>
      <c r="AD352" s="10">
        <f t="shared" si="307"/>
        <v>0</v>
      </c>
      <c r="AE352" s="10">
        <f t="shared" si="308"/>
        <v>0</v>
      </c>
      <c r="AF352" s="10">
        <f t="shared" si="309"/>
        <v>0</v>
      </c>
      <c r="AG352" s="10">
        <f t="shared" si="310"/>
        <v>0</v>
      </c>
      <c r="AH352" s="10">
        <f t="shared" si="311"/>
        <v>0</v>
      </c>
      <c r="AI352" s="10">
        <f t="shared" si="312"/>
        <v>0</v>
      </c>
      <c r="AJ352" s="10">
        <f t="shared" si="313"/>
        <v>0</v>
      </c>
      <c r="AK352" s="10">
        <f t="shared" si="314"/>
        <v>0</v>
      </c>
      <c r="AL352" s="10">
        <f t="shared" si="315"/>
        <v>0</v>
      </c>
      <c r="AM352" s="10">
        <f t="shared" si="316"/>
        <v>0</v>
      </c>
      <c r="AN352" s="46">
        <f t="shared" si="317"/>
        <v>0</v>
      </c>
      <c r="AO352" s="10">
        <f t="shared" si="318"/>
        <v>0</v>
      </c>
      <c r="AP352" s="10">
        <f t="shared" si="319"/>
        <v>0</v>
      </c>
      <c r="AQ352" s="10">
        <f t="shared" si="320"/>
        <v>0</v>
      </c>
      <c r="AR352" s="10">
        <f t="shared" si="321"/>
        <v>0</v>
      </c>
      <c r="AS352" s="10">
        <f t="shared" si="322"/>
        <v>0</v>
      </c>
      <c r="AT352" s="10">
        <f t="shared" si="323"/>
        <v>0</v>
      </c>
      <c r="AU352" s="10">
        <f t="shared" si="324"/>
        <v>0</v>
      </c>
      <c r="AV352" s="10">
        <f t="shared" si="325"/>
        <v>0</v>
      </c>
      <c r="AW352" s="10">
        <f t="shared" si="326"/>
        <v>0</v>
      </c>
      <c r="AX352" s="10">
        <f t="shared" si="327"/>
        <v>0</v>
      </c>
    </row>
    <row r="353" spans="1:50" x14ac:dyDescent="0.2">
      <c r="A353" s="8">
        <v>14300</v>
      </c>
      <c r="B353" s="89" t="str">
        <f t="shared" si="279"/>
        <v>Junee</v>
      </c>
      <c r="C353" s="9" t="str">
        <f t="shared" si="280"/>
        <v>REROC</v>
      </c>
      <c r="D353" s="51" t="str">
        <f t="shared" si="281"/>
        <v>N</v>
      </c>
      <c r="E353" s="10" t="str">
        <f t="shared" si="282"/>
        <v>RJO</v>
      </c>
      <c r="F353" s="10">
        <f t="shared" si="283"/>
        <v>6676</v>
      </c>
      <c r="G353" s="10">
        <f t="shared" si="284"/>
        <v>3087</v>
      </c>
      <c r="H353" s="10">
        <f t="shared" si="285"/>
        <v>2.1626174279235504</v>
      </c>
      <c r="I353" s="10">
        <f t="shared" si="286"/>
        <v>2030</v>
      </c>
      <c r="J353" s="10">
        <f t="shared" si="287"/>
        <v>3.3</v>
      </c>
      <c r="K353" s="10">
        <f t="shared" si="288"/>
        <v>400.8</v>
      </c>
      <c r="L353" s="10" t="str">
        <f t="shared" si="289"/>
        <v>Y</v>
      </c>
      <c r="M353" s="10">
        <f t="shared" si="290"/>
        <v>1963</v>
      </c>
      <c r="N353" s="10">
        <f t="shared" si="291"/>
        <v>1952</v>
      </c>
      <c r="O353" s="10">
        <f t="shared" si="292"/>
        <v>0</v>
      </c>
      <c r="P353" s="10">
        <f t="shared" si="293"/>
        <v>1702</v>
      </c>
      <c r="Q353" s="10">
        <f t="shared" si="294"/>
        <v>0</v>
      </c>
      <c r="R353" s="10" t="str">
        <f t="shared" si="295"/>
        <v>Yes</v>
      </c>
      <c r="S353" s="10" t="str">
        <f t="shared" si="296"/>
        <v xml:space="preserve">Junee Landfill Waste Facility, Lot 111 Kahmoo Lane, Junee </v>
      </c>
      <c r="T353" s="10">
        <f t="shared" si="297"/>
        <v>0</v>
      </c>
      <c r="U353" s="10">
        <f t="shared" si="298"/>
        <v>0</v>
      </c>
      <c r="V353" s="10">
        <f t="shared" si="299"/>
        <v>0</v>
      </c>
      <c r="W353" s="10">
        <f t="shared" si="300"/>
        <v>0</v>
      </c>
      <c r="X353" s="10">
        <f t="shared" si="301"/>
        <v>0</v>
      </c>
      <c r="Y353" s="10">
        <f t="shared" si="302"/>
        <v>0</v>
      </c>
      <c r="Z353" s="10">
        <f t="shared" si="303"/>
        <v>0</v>
      </c>
      <c r="AA353" s="10">
        <f t="shared" si="304"/>
        <v>0</v>
      </c>
      <c r="AB353" s="10">
        <f t="shared" si="305"/>
        <v>0</v>
      </c>
      <c r="AC353" s="10">
        <f t="shared" si="306"/>
        <v>0</v>
      </c>
      <c r="AD353" s="10">
        <f t="shared" si="307"/>
        <v>0</v>
      </c>
      <c r="AE353" s="10">
        <f t="shared" si="308"/>
        <v>0</v>
      </c>
      <c r="AF353" s="10">
        <f t="shared" si="309"/>
        <v>0</v>
      </c>
      <c r="AG353" s="10">
        <f t="shared" si="310"/>
        <v>0</v>
      </c>
      <c r="AH353" s="10">
        <f t="shared" si="311"/>
        <v>0</v>
      </c>
      <c r="AI353" s="10">
        <f t="shared" si="312"/>
        <v>0</v>
      </c>
      <c r="AJ353" s="10">
        <f t="shared" si="313"/>
        <v>0</v>
      </c>
      <c r="AK353" s="10">
        <f t="shared" si="314"/>
        <v>0</v>
      </c>
      <c r="AL353" s="10">
        <f t="shared" si="315"/>
        <v>0</v>
      </c>
      <c r="AM353" s="10">
        <f t="shared" si="316"/>
        <v>0</v>
      </c>
      <c r="AN353" s="46">
        <f t="shared" si="317"/>
        <v>0</v>
      </c>
      <c r="AO353" s="10">
        <f t="shared" si="318"/>
        <v>0</v>
      </c>
      <c r="AP353" s="10">
        <f t="shared" si="319"/>
        <v>0</v>
      </c>
      <c r="AQ353" s="10">
        <f t="shared" si="320"/>
        <v>0</v>
      </c>
      <c r="AR353" s="10">
        <f t="shared" si="321"/>
        <v>0</v>
      </c>
      <c r="AS353" s="10">
        <f t="shared" si="322"/>
        <v>0</v>
      </c>
      <c r="AT353" s="10">
        <f t="shared" si="323"/>
        <v>0</v>
      </c>
      <c r="AU353" s="10">
        <f t="shared" si="324"/>
        <v>0</v>
      </c>
      <c r="AV353" s="10">
        <f t="shared" si="325"/>
        <v>0</v>
      </c>
      <c r="AW353" s="10">
        <f t="shared" si="326"/>
        <v>0</v>
      </c>
      <c r="AX353" s="10">
        <f t="shared" si="327"/>
        <v>0</v>
      </c>
    </row>
    <row r="354" spans="1:50" x14ac:dyDescent="0.2">
      <c r="A354" s="8">
        <v>14350</v>
      </c>
      <c r="B354" s="89" t="str">
        <f t="shared" si="279"/>
        <v>Kempsey</v>
      </c>
      <c r="C354" s="9" t="str">
        <f t="shared" si="280"/>
        <v>MidWaste</v>
      </c>
      <c r="D354" s="51" t="str">
        <f t="shared" si="281"/>
        <v>R</v>
      </c>
      <c r="E354" s="10" t="str">
        <f t="shared" si="282"/>
        <v>MNCJO</v>
      </c>
      <c r="F354" s="10">
        <f t="shared" si="283"/>
        <v>29921</v>
      </c>
      <c r="G354" s="10">
        <f t="shared" si="284"/>
        <v>15699</v>
      </c>
      <c r="H354" s="10">
        <f t="shared" si="285"/>
        <v>1.9059175743677941</v>
      </c>
      <c r="I354" s="10">
        <f t="shared" si="286"/>
        <v>3375.7</v>
      </c>
      <c r="J354" s="10">
        <f t="shared" si="287"/>
        <v>8.9</v>
      </c>
      <c r="K354" s="10">
        <f t="shared" si="288"/>
        <v>403</v>
      </c>
      <c r="L354" s="10" t="str">
        <f t="shared" si="289"/>
        <v>Y</v>
      </c>
      <c r="M354" s="10">
        <f t="shared" si="290"/>
        <v>11994</v>
      </c>
      <c r="N354" s="10">
        <f t="shared" si="291"/>
        <v>12434</v>
      </c>
      <c r="O354" s="10">
        <f t="shared" si="292"/>
        <v>0</v>
      </c>
      <c r="P354" s="10">
        <f t="shared" si="293"/>
        <v>11541</v>
      </c>
      <c r="Q354" s="10">
        <f t="shared" si="294"/>
        <v>0</v>
      </c>
      <c r="R354" s="10" t="str">
        <f t="shared" si="295"/>
        <v>Yes</v>
      </c>
      <c r="S354" s="10" t="str">
        <f t="shared" si="296"/>
        <v xml:space="preserve">Kempsey Waste Management Center </v>
      </c>
      <c r="T354" s="10" t="str">
        <f t="shared" si="297"/>
        <v xml:space="preserve">South West Rocks Transfer Station </v>
      </c>
      <c r="U354" s="10" t="str">
        <f t="shared" si="298"/>
        <v xml:space="preserve">Stuarts Point Transfer Station </v>
      </c>
      <c r="V354" s="10" t="str">
        <f t="shared" si="299"/>
        <v xml:space="preserve">Bellbrook Transfer Station </v>
      </c>
      <c r="W354" s="10">
        <f t="shared" si="300"/>
        <v>0</v>
      </c>
      <c r="X354" s="10">
        <f t="shared" si="301"/>
        <v>0</v>
      </c>
      <c r="Y354" s="10">
        <f t="shared" si="302"/>
        <v>0</v>
      </c>
      <c r="Z354" s="10">
        <f t="shared" si="303"/>
        <v>0</v>
      </c>
      <c r="AA354" s="10">
        <f t="shared" si="304"/>
        <v>0</v>
      </c>
      <c r="AB354" s="10">
        <f t="shared" si="305"/>
        <v>0</v>
      </c>
      <c r="AC354" s="10">
        <f t="shared" si="306"/>
        <v>0</v>
      </c>
      <c r="AD354" s="10">
        <f t="shared" si="307"/>
        <v>0</v>
      </c>
      <c r="AE354" s="10">
        <f t="shared" si="308"/>
        <v>0</v>
      </c>
      <c r="AF354" s="10">
        <f t="shared" si="309"/>
        <v>0</v>
      </c>
      <c r="AG354" s="10">
        <f t="shared" si="310"/>
        <v>0</v>
      </c>
      <c r="AH354" s="10">
        <f t="shared" si="311"/>
        <v>0</v>
      </c>
      <c r="AI354" s="10">
        <f t="shared" si="312"/>
        <v>0</v>
      </c>
      <c r="AJ354" s="10">
        <f t="shared" si="313"/>
        <v>0</v>
      </c>
      <c r="AK354" s="10">
        <f t="shared" si="314"/>
        <v>0</v>
      </c>
      <c r="AL354" s="10">
        <f t="shared" si="315"/>
        <v>0</v>
      </c>
      <c r="AM354" s="10">
        <f t="shared" si="316"/>
        <v>0</v>
      </c>
      <c r="AN354" s="46">
        <f t="shared" si="317"/>
        <v>0</v>
      </c>
      <c r="AO354" s="10">
        <f t="shared" si="318"/>
        <v>0</v>
      </c>
      <c r="AP354" s="10">
        <f t="shared" si="319"/>
        <v>0</v>
      </c>
      <c r="AQ354" s="10">
        <f t="shared" si="320"/>
        <v>0</v>
      </c>
      <c r="AR354" s="10">
        <f t="shared" si="321"/>
        <v>0</v>
      </c>
      <c r="AS354" s="10">
        <f t="shared" si="322"/>
        <v>0</v>
      </c>
      <c r="AT354" s="10">
        <f t="shared" si="323"/>
        <v>0</v>
      </c>
      <c r="AU354" s="10">
        <f t="shared" si="324"/>
        <v>0</v>
      </c>
      <c r="AV354" s="10">
        <f t="shared" si="325"/>
        <v>0</v>
      </c>
      <c r="AW354" s="10">
        <f t="shared" si="326"/>
        <v>0</v>
      </c>
      <c r="AX354" s="10">
        <f t="shared" si="327"/>
        <v>0</v>
      </c>
    </row>
    <row r="355" spans="1:50" x14ac:dyDescent="0.2">
      <c r="A355" s="8">
        <v>14550</v>
      </c>
      <c r="B355" s="89" t="str">
        <f t="shared" si="279"/>
        <v>Kyogle</v>
      </c>
      <c r="C355" s="9" t="str">
        <f t="shared" si="280"/>
        <v>NEWF</v>
      </c>
      <c r="D355" s="51" t="str">
        <f t="shared" si="281"/>
        <v>R</v>
      </c>
      <c r="E355" s="10" t="str">
        <f t="shared" si="282"/>
        <v>NRJO</v>
      </c>
      <c r="F355" s="10">
        <f t="shared" si="283"/>
        <v>8788</v>
      </c>
      <c r="G355" s="10">
        <f t="shared" si="284"/>
        <v>4042</v>
      </c>
      <c r="H355" s="10">
        <f t="shared" si="285"/>
        <v>2.1741712023750619</v>
      </c>
      <c r="I355" s="10">
        <f t="shared" si="286"/>
        <v>3584.2</v>
      </c>
      <c r="J355" s="10">
        <f t="shared" si="287"/>
        <v>2.5</v>
      </c>
      <c r="K355" s="10">
        <f t="shared" si="288"/>
        <v>450</v>
      </c>
      <c r="L355" s="10" t="str">
        <f t="shared" si="289"/>
        <v>Y</v>
      </c>
      <c r="M355" s="10">
        <f t="shared" si="290"/>
        <v>1970</v>
      </c>
      <c r="N355" s="10">
        <f t="shared" si="291"/>
        <v>1970</v>
      </c>
      <c r="O355" s="10">
        <f t="shared" si="292"/>
        <v>0</v>
      </c>
      <c r="P355" s="10">
        <f t="shared" si="293"/>
        <v>0</v>
      </c>
      <c r="Q355" s="10">
        <f t="shared" si="294"/>
        <v>0</v>
      </c>
      <c r="R355" s="10" t="str">
        <f t="shared" si="295"/>
        <v>Yes</v>
      </c>
      <c r="S355" s="10" t="str">
        <f t="shared" si="296"/>
        <v>Kyogle Landfill Facility</v>
      </c>
      <c r="T355" s="10">
        <f t="shared" si="297"/>
        <v>0</v>
      </c>
      <c r="U355" s="10">
        <f t="shared" si="298"/>
        <v>0</v>
      </c>
      <c r="V355" s="10">
        <f t="shared" si="299"/>
        <v>0</v>
      </c>
      <c r="W355" s="10">
        <f t="shared" si="300"/>
        <v>0</v>
      </c>
      <c r="X355" s="10">
        <f t="shared" si="301"/>
        <v>0</v>
      </c>
      <c r="Y355" s="10">
        <f t="shared" si="302"/>
        <v>0</v>
      </c>
      <c r="Z355" s="10">
        <f t="shared" si="303"/>
        <v>0</v>
      </c>
      <c r="AA355" s="10">
        <f t="shared" si="304"/>
        <v>0</v>
      </c>
      <c r="AB355" s="10">
        <f t="shared" si="305"/>
        <v>0</v>
      </c>
      <c r="AC355" s="10">
        <f t="shared" si="306"/>
        <v>0</v>
      </c>
      <c r="AD355" s="10">
        <f t="shared" si="307"/>
        <v>0</v>
      </c>
      <c r="AE355" s="10">
        <f t="shared" si="308"/>
        <v>0</v>
      </c>
      <c r="AF355" s="10">
        <f t="shared" si="309"/>
        <v>0</v>
      </c>
      <c r="AG355" s="10">
        <f t="shared" si="310"/>
        <v>0</v>
      </c>
      <c r="AH355" s="10">
        <f t="shared" si="311"/>
        <v>0</v>
      </c>
      <c r="AI355" s="10">
        <f t="shared" si="312"/>
        <v>0</v>
      </c>
      <c r="AJ355" s="10">
        <f t="shared" si="313"/>
        <v>0</v>
      </c>
      <c r="AK355" s="10">
        <f t="shared" si="314"/>
        <v>0</v>
      </c>
      <c r="AL355" s="10">
        <f t="shared" si="315"/>
        <v>0</v>
      </c>
      <c r="AM355" s="10">
        <f t="shared" si="316"/>
        <v>0</v>
      </c>
      <c r="AN355" s="46">
        <f t="shared" si="317"/>
        <v>0</v>
      </c>
      <c r="AO355" s="10">
        <f t="shared" si="318"/>
        <v>0</v>
      </c>
      <c r="AP355" s="10">
        <f t="shared" si="319"/>
        <v>0</v>
      </c>
      <c r="AQ355" s="10">
        <f t="shared" si="320"/>
        <v>0</v>
      </c>
      <c r="AR355" s="10">
        <f t="shared" si="321"/>
        <v>0</v>
      </c>
      <c r="AS355" s="10">
        <f t="shared" si="322"/>
        <v>0</v>
      </c>
      <c r="AT355" s="10">
        <f t="shared" si="323"/>
        <v>0</v>
      </c>
      <c r="AU355" s="10">
        <f t="shared" si="324"/>
        <v>0</v>
      </c>
      <c r="AV355" s="10">
        <f t="shared" si="325"/>
        <v>0</v>
      </c>
      <c r="AW355" s="10">
        <f t="shared" si="326"/>
        <v>0</v>
      </c>
      <c r="AX355" s="10">
        <f t="shared" si="327"/>
        <v>0</v>
      </c>
    </row>
    <row r="356" spans="1:50" x14ac:dyDescent="0.2">
      <c r="A356" s="8">
        <v>14600</v>
      </c>
      <c r="B356" s="89" t="str">
        <f t="shared" si="279"/>
        <v>Lachlan</v>
      </c>
      <c r="C356" s="9" t="str">
        <f t="shared" si="280"/>
        <v>NetWaste</v>
      </c>
      <c r="D356" s="51" t="str">
        <f t="shared" si="281"/>
        <v>N</v>
      </c>
      <c r="E356" s="10" t="str">
        <f t="shared" si="282"/>
        <v>CNJO</v>
      </c>
      <c r="F356" s="10">
        <f t="shared" si="283"/>
        <v>6089</v>
      </c>
      <c r="G356" s="10">
        <f t="shared" si="284"/>
        <v>4260</v>
      </c>
      <c r="H356" s="10">
        <f t="shared" si="285"/>
        <v>1.4293427230046949</v>
      </c>
      <c r="I356" s="10">
        <f t="shared" si="286"/>
        <v>14968.3</v>
      </c>
      <c r="J356" s="10">
        <f t="shared" si="287"/>
        <v>0.4</v>
      </c>
      <c r="K356" s="10">
        <f t="shared" si="288"/>
        <v>551</v>
      </c>
      <c r="L356" s="10" t="str">
        <f t="shared" si="289"/>
        <v>Y</v>
      </c>
      <c r="M356" s="10">
        <f t="shared" si="290"/>
        <v>2064</v>
      </c>
      <c r="N356" s="10">
        <f t="shared" si="291"/>
        <v>2057</v>
      </c>
      <c r="O356" s="10">
        <f t="shared" si="292"/>
        <v>1293</v>
      </c>
      <c r="P356" s="10">
        <f t="shared" si="293"/>
        <v>0</v>
      </c>
      <c r="Q356" s="10">
        <f t="shared" si="294"/>
        <v>0</v>
      </c>
      <c r="R356" s="10" t="str">
        <f t="shared" si="295"/>
        <v>No</v>
      </c>
      <c r="S356" s="10" t="str">
        <f t="shared" si="296"/>
        <v xml:space="preserve">Condobolin - 55 Boona Road Condobolin </v>
      </c>
      <c r="T356" s="10" t="str">
        <f t="shared" si="297"/>
        <v>Lake Cargelligo - Ubba Street Condobolin</v>
      </c>
      <c r="U356" s="10" t="str">
        <f t="shared" si="298"/>
        <v>Burcher - Burcher Road</v>
      </c>
      <c r="V356" s="10" t="str">
        <f t="shared" si="299"/>
        <v xml:space="preserve">Tottenham - Tottenham Tip Road </v>
      </c>
      <c r="W356" s="10" t="str">
        <f t="shared" si="300"/>
        <v xml:space="preserve">Tullibigeal - Tullibigeal Road </v>
      </c>
      <c r="X356" s="10">
        <f t="shared" si="301"/>
        <v>0</v>
      </c>
      <c r="Y356" s="10">
        <f t="shared" si="302"/>
        <v>0</v>
      </c>
      <c r="Z356" s="10">
        <f t="shared" si="303"/>
        <v>0</v>
      </c>
      <c r="AA356" s="10">
        <f t="shared" si="304"/>
        <v>0</v>
      </c>
      <c r="AB356" s="10">
        <f t="shared" si="305"/>
        <v>0</v>
      </c>
      <c r="AC356" s="10">
        <f t="shared" si="306"/>
        <v>0</v>
      </c>
      <c r="AD356" s="10">
        <f t="shared" si="307"/>
        <v>0</v>
      </c>
      <c r="AE356" s="10">
        <f t="shared" si="308"/>
        <v>0</v>
      </c>
      <c r="AF356" s="10">
        <f t="shared" si="309"/>
        <v>0</v>
      </c>
      <c r="AG356" s="10">
        <f t="shared" si="310"/>
        <v>0</v>
      </c>
      <c r="AH356" s="10">
        <f t="shared" si="311"/>
        <v>0</v>
      </c>
      <c r="AI356" s="10">
        <f t="shared" si="312"/>
        <v>0</v>
      </c>
      <c r="AJ356" s="10">
        <f t="shared" si="313"/>
        <v>0</v>
      </c>
      <c r="AK356" s="10">
        <f t="shared" si="314"/>
        <v>0</v>
      </c>
      <c r="AL356" s="10">
        <f t="shared" si="315"/>
        <v>0</v>
      </c>
      <c r="AM356" s="10">
        <f t="shared" si="316"/>
        <v>0</v>
      </c>
      <c r="AN356" s="46">
        <f t="shared" si="317"/>
        <v>0</v>
      </c>
      <c r="AO356" s="10">
        <f t="shared" si="318"/>
        <v>0</v>
      </c>
      <c r="AP356" s="10">
        <f t="shared" si="319"/>
        <v>0</v>
      </c>
      <c r="AQ356" s="10">
        <f t="shared" si="320"/>
        <v>0</v>
      </c>
      <c r="AR356" s="10">
        <f t="shared" si="321"/>
        <v>0</v>
      </c>
      <c r="AS356" s="10">
        <f t="shared" si="322"/>
        <v>0</v>
      </c>
      <c r="AT356" s="10">
        <f t="shared" si="323"/>
        <v>0</v>
      </c>
      <c r="AU356" s="10">
        <f t="shared" si="324"/>
        <v>0</v>
      </c>
      <c r="AV356" s="10">
        <f t="shared" si="325"/>
        <v>0</v>
      </c>
      <c r="AW356" s="10">
        <f t="shared" si="326"/>
        <v>0</v>
      </c>
      <c r="AX356" s="10">
        <f t="shared" si="327"/>
        <v>0</v>
      </c>
    </row>
    <row r="357" spans="1:50" x14ac:dyDescent="0.2">
      <c r="A357" s="8">
        <v>14750</v>
      </c>
      <c r="B357" s="89" t="str">
        <f t="shared" si="279"/>
        <v>Leeton</v>
      </c>
      <c r="C357" s="9" t="str">
        <f t="shared" si="280"/>
        <v>RAMJO Riverina</v>
      </c>
      <c r="D357" s="51" t="str">
        <f t="shared" si="281"/>
        <v>N</v>
      </c>
      <c r="E357" s="10" t="str">
        <f t="shared" si="282"/>
        <v>RMJO</v>
      </c>
      <c r="F357" s="10">
        <f t="shared" si="283"/>
        <v>11343</v>
      </c>
      <c r="G357" s="10">
        <f t="shared" si="284"/>
        <v>4170</v>
      </c>
      <c r="H357" s="10">
        <f t="shared" si="285"/>
        <v>2.7201438848920865</v>
      </c>
      <c r="I357" s="10">
        <f t="shared" si="286"/>
        <v>1167.2</v>
      </c>
      <c r="J357" s="10">
        <f t="shared" si="287"/>
        <v>9.6999999999999993</v>
      </c>
      <c r="K357" s="10">
        <f t="shared" si="288"/>
        <v>288</v>
      </c>
      <c r="L357" s="10" t="str">
        <f t="shared" si="289"/>
        <v>Y</v>
      </c>
      <c r="M357" s="10">
        <f t="shared" si="290"/>
        <v>4093</v>
      </c>
      <c r="N357" s="10">
        <f t="shared" si="291"/>
        <v>4014</v>
      </c>
      <c r="O357" s="10">
        <f t="shared" si="292"/>
        <v>0</v>
      </c>
      <c r="P357" s="10">
        <f t="shared" si="293"/>
        <v>0</v>
      </c>
      <c r="Q357" s="10">
        <f t="shared" si="294"/>
        <v>0</v>
      </c>
      <c r="R357" s="10" t="str">
        <f t="shared" si="295"/>
        <v>Yes</v>
      </c>
      <c r="S357" s="10">
        <f t="shared" si="296"/>
        <v>0</v>
      </c>
      <c r="T357" s="10">
        <f t="shared" si="297"/>
        <v>0</v>
      </c>
      <c r="U357" s="10">
        <f t="shared" si="298"/>
        <v>0</v>
      </c>
      <c r="V357" s="10">
        <f t="shared" si="299"/>
        <v>0</v>
      </c>
      <c r="W357" s="10">
        <f t="shared" si="300"/>
        <v>0</v>
      </c>
      <c r="X357" s="10">
        <f t="shared" si="301"/>
        <v>0</v>
      </c>
      <c r="Y357" s="10">
        <f t="shared" si="302"/>
        <v>0</v>
      </c>
      <c r="Z357" s="10">
        <f t="shared" si="303"/>
        <v>0</v>
      </c>
      <c r="AA357" s="10">
        <f t="shared" si="304"/>
        <v>0</v>
      </c>
      <c r="AB357" s="10">
        <f t="shared" si="305"/>
        <v>0</v>
      </c>
      <c r="AC357" s="10">
        <f t="shared" si="306"/>
        <v>0</v>
      </c>
      <c r="AD357" s="10">
        <f t="shared" si="307"/>
        <v>0</v>
      </c>
      <c r="AE357" s="10">
        <f t="shared" si="308"/>
        <v>0</v>
      </c>
      <c r="AF357" s="10">
        <f t="shared" si="309"/>
        <v>0</v>
      </c>
      <c r="AG357" s="10">
        <f t="shared" si="310"/>
        <v>0</v>
      </c>
      <c r="AH357" s="10">
        <f t="shared" si="311"/>
        <v>0</v>
      </c>
      <c r="AI357" s="10">
        <f t="shared" si="312"/>
        <v>0</v>
      </c>
      <c r="AJ357" s="10">
        <f t="shared" si="313"/>
        <v>0</v>
      </c>
      <c r="AK357" s="10">
        <f t="shared" si="314"/>
        <v>0</v>
      </c>
      <c r="AL357" s="10">
        <f t="shared" si="315"/>
        <v>0</v>
      </c>
      <c r="AM357" s="10">
        <f t="shared" si="316"/>
        <v>0</v>
      </c>
      <c r="AN357" s="46">
        <f t="shared" si="317"/>
        <v>0</v>
      </c>
      <c r="AO357" s="10">
        <f t="shared" si="318"/>
        <v>0</v>
      </c>
      <c r="AP357" s="10">
        <f t="shared" si="319"/>
        <v>0</v>
      </c>
      <c r="AQ357" s="10">
        <f t="shared" si="320"/>
        <v>0</v>
      </c>
      <c r="AR357" s="10">
        <f t="shared" si="321"/>
        <v>0</v>
      </c>
      <c r="AS357" s="10">
        <f t="shared" si="322"/>
        <v>0</v>
      </c>
      <c r="AT357" s="10">
        <f t="shared" si="323"/>
        <v>0</v>
      </c>
      <c r="AU357" s="10">
        <f t="shared" si="324"/>
        <v>0</v>
      </c>
      <c r="AV357" s="10">
        <f t="shared" si="325"/>
        <v>0</v>
      </c>
      <c r="AW357" s="10">
        <f t="shared" si="326"/>
        <v>0</v>
      </c>
      <c r="AX357" s="10">
        <f t="shared" si="327"/>
        <v>0</v>
      </c>
    </row>
    <row r="358" spans="1:50" x14ac:dyDescent="0.2">
      <c r="A358" s="8">
        <v>14850</v>
      </c>
      <c r="B358" s="89" t="str">
        <f t="shared" si="279"/>
        <v>Lismore</v>
      </c>
      <c r="C358" s="9" t="str">
        <f t="shared" si="280"/>
        <v>NEWF</v>
      </c>
      <c r="D358" s="51" t="str">
        <f t="shared" si="281"/>
        <v>R</v>
      </c>
      <c r="E358" s="10" t="str">
        <f t="shared" si="282"/>
        <v>NRJO</v>
      </c>
      <c r="F358" s="10">
        <f t="shared" si="283"/>
        <v>43667</v>
      </c>
      <c r="G358" s="10">
        <f t="shared" si="284"/>
        <v>18655</v>
      </c>
      <c r="H358" s="10">
        <f t="shared" si="285"/>
        <v>2.3407665505226483</v>
      </c>
      <c r="I358" s="10">
        <f t="shared" si="286"/>
        <v>1287.7</v>
      </c>
      <c r="J358" s="10">
        <f t="shared" si="287"/>
        <v>33.9</v>
      </c>
      <c r="K358" s="10">
        <f t="shared" si="288"/>
        <v>316.2</v>
      </c>
      <c r="L358" s="10" t="str">
        <f t="shared" si="289"/>
        <v>Y</v>
      </c>
      <c r="M358" s="10">
        <f t="shared" si="290"/>
        <v>14971</v>
      </c>
      <c r="N358" s="10">
        <f t="shared" si="291"/>
        <v>14971</v>
      </c>
      <c r="O358" s="10">
        <f t="shared" si="292"/>
        <v>0</v>
      </c>
      <c r="P358" s="10">
        <f t="shared" si="293"/>
        <v>12898</v>
      </c>
      <c r="Q358" s="10">
        <f t="shared" si="294"/>
        <v>0</v>
      </c>
      <c r="R358" s="10" t="str">
        <f t="shared" si="295"/>
        <v>Yes</v>
      </c>
      <c r="S358" s="10" t="str">
        <f t="shared" si="296"/>
        <v>Lismore Waste Facility</v>
      </c>
      <c r="T358" s="10" t="str">
        <f t="shared" si="297"/>
        <v xml:space="preserve">Nimbin Transfer Station </v>
      </c>
      <c r="U358" s="10">
        <f t="shared" si="298"/>
        <v>0</v>
      </c>
      <c r="V358" s="10">
        <f t="shared" si="299"/>
        <v>0</v>
      </c>
      <c r="W358" s="10">
        <f t="shared" si="300"/>
        <v>0</v>
      </c>
      <c r="X358" s="10">
        <f t="shared" si="301"/>
        <v>0</v>
      </c>
      <c r="Y358" s="10">
        <f t="shared" si="302"/>
        <v>0</v>
      </c>
      <c r="Z358" s="10">
        <f t="shared" si="303"/>
        <v>0</v>
      </c>
      <c r="AA358" s="10">
        <f t="shared" si="304"/>
        <v>0</v>
      </c>
      <c r="AB358" s="10">
        <f t="shared" si="305"/>
        <v>0</v>
      </c>
      <c r="AC358" s="10">
        <f t="shared" si="306"/>
        <v>0</v>
      </c>
      <c r="AD358" s="10">
        <f t="shared" si="307"/>
        <v>0</v>
      </c>
      <c r="AE358" s="10">
        <f t="shared" si="308"/>
        <v>0</v>
      </c>
      <c r="AF358" s="10">
        <f t="shared" si="309"/>
        <v>0</v>
      </c>
      <c r="AG358" s="10">
        <f t="shared" si="310"/>
        <v>0</v>
      </c>
      <c r="AH358" s="10">
        <f t="shared" si="311"/>
        <v>0</v>
      </c>
      <c r="AI358" s="10">
        <f t="shared" si="312"/>
        <v>0</v>
      </c>
      <c r="AJ358" s="10">
        <f t="shared" si="313"/>
        <v>0</v>
      </c>
      <c r="AK358" s="10">
        <f t="shared" si="314"/>
        <v>0</v>
      </c>
      <c r="AL358" s="10">
        <f t="shared" si="315"/>
        <v>0</v>
      </c>
      <c r="AM358" s="10">
        <f t="shared" si="316"/>
        <v>0</v>
      </c>
      <c r="AN358" s="46">
        <f t="shared" si="317"/>
        <v>0</v>
      </c>
      <c r="AO358" s="10">
        <f t="shared" si="318"/>
        <v>0</v>
      </c>
      <c r="AP358" s="10">
        <f t="shared" si="319"/>
        <v>0</v>
      </c>
      <c r="AQ358" s="10">
        <f t="shared" si="320"/>
        <v>0</v>
      </c>
      <c r="AR358" s="10">
        <f t="shared" si="321"/>
        <v>0</v>
      </c>
      <c r="AS358" s="10">
        <f t="shared" si="322"/>
        <v>0</v>
      </c>
      <c r="AT358" s="10">
        <f t="shared" si="323"/>
        <v>0</v>
      </c>
      <c r="AU358" s="10">
        <f t="shared" si="324"/>
        <v>0</v>
      </c>
      <c r="AV358" s="10">
        <f t="shared" si="325"/>
        <v>0</v>
      </c>
      <c r="AW358" s="10">
        <f t="shared" si="326"/>
        <v>0</v>
      </c>
      <c r="AX358" s="10">
        <f t="shared" si="327"/>
        <v>0</v>
      </c>
    </row>
    <row r="359" spans="1:50" x14ac:dyDescent="0.2">
      <c r="A359" s="8">
        <v>14870</v>
      </c>
      <c r="B359" s="89" t="str">
        <f t="shared" si="279"/>
        <v>Lithgow</v>
      </c>
      <c r="C359" s="9" t="str">
        <f t="shared" si="280"/>
        <v>NetWaste</v>
      </c>
      <c r="D359" s="51" t="str">
        <f t="shared" si="281"/>
        <v>N</v>
      </c>
      <c r="E359" s="10">
        <f t="shared" si="282"/>
        <v>0</v>
      </c>
      <c r="F359" s="10">
        <f t="shared" si="283"/>
        <v>21516</v>
      </c>
      <c r="G359" s="10">
        <f t="shared" si="284"/>
        <v>11568</v>
      </c>
      <c r="H359" s="10">
        <f t="shared" si="285"/>
        <v>1.8599585062240664</v>
      </c>
      <c r="I359" s="10">
        <f t="shared" si="286"/>
        <v>4512.3</v>
      </c>
      <c r="J359" s="10">
        <f t="shared" si="287"/>
        <v>4.8</v>
      </c>
      <c r="K359" s="10">
        <f t="shared" si="288"/>
        <v>459.81</v>
      </c>
      <c r="L359" s="10" t="str">
        <f t="shared" si="289"/>
        <v>Y</v>
      </c>
      <c r="M359" s="10">
        <f t="shared" si="290"/>
        <v>8795</v>
      </c>
      <c r="N359" s="10">
        <f t="shared" si="291"/>
        <v>8760</v>
      </c>
      <c r="O359" s="10">
        <f t="shared" si="292"/>
        <v>0</v>
      </c>
      <c r="P359" s="10">
        <f t="shared" si="293"/>
        <v>0</v>
      </c>
      <c r="Q359" s="10">
        <f t="shared" si="294"/>
        <v>11568</v>
      </c>
      <c r="R359" s="10" t="str">
        <f t="shared" si="295"/>
        <v>Yes</v>
      </c>
      <c r="S359" s="10" t="str">
        <f t="shared" si="296"/>
        <v>Lithgow, 62 Geordie Street Lithgow</v>
      </c>
      <c r="T359" s="10" t="str">
        <f t="shared" si="297"/>
        <v>Portland, Portland Cullen Bullen Road Portland</v>
      </c>
      <c r="U359" s="10" t="str">
        <f t="shared" si="298"/>
        <v>Wallerawang, Pipers Flat Road Wallerawang</v>
      </c>
      <c r="V359" s="10" t="str">
        <f t="shared" si="299"/>
        <v>Capertee, Hearne Street Capertee</v>
      </c>
      <c r="W359" s="10">
        <f t="shared" si="300"/>
        <v>0</v>
      </c>
      <c r="X359" s="10">
        <f t="shared" si="301"/>
        <v>0</v>
      </c>
      <c r="Y359" s="10">
        <f t="shared" si="302"/>
        <v>0</v>
      </c>
      <c r="Z359" s="10">
        <f t="shared" si="303"/>
        <v>0</v>
      </c>
      <c r="AA359" s="10">
        <f t="shared" si="304"/>
        <v>0</v>
      </c>
      <c r="AB359" s="10">
        <f t="shared" si="305"/>
        <v>0</v>
      </c>
      <c r="AC359" s="10">
        <f t="shared" si="306"/>
        <v>0</v>
      </c>
      <c r="AD359" s="10">
        <f t="shared" si="307"/>
        <v>0</v>
      </c>
      <c r="AE359" s="10">
        <f t="shared" si="308"/>
        <v>0</v>
      </c>
      <c r="AF359" s="10">
        <f t="shared" si="309"/>
        <v>0</v>
      </c>
      <c r="AG359" s="10">
        <f t="shared" si="310"/>
        <v>0</v>
      </c>
      <c r="AH359" s="10">
        <f t="shared" si="311"/>
        <v>0</v>
      </c>
      <c r="AI359" s="10">
        <f t="shared" si="312"/>
        <v>0</v>
      </c>
      <c r="AJ359" s="10">
        <f t="shared" si="313"/>
        <v>0</v>
      </c>
      <c r="AK359" s="10">
        <f t="shared" si="314"/>
        <v>0</v>
      </c>
      <c r="AL359" s="10">
        <f t="shared" si="315"/>
        <v>0</v>
      </c>
      <c r="AM359" s="10">
        <f t="shared" si="316"/>
        <v>0</v>
      </c>
      <c r="AN359" s="46">
        <f t="shared" si="317"/>
        <v>0</v>
      </c>
      <c r="AO359" s="10">
        <f t="shared" si="318"/>
        <v>0</v>
      </c>
      <c r="AP359" s="10">
        <f t="shared" si="319"/>
        <v>0</v>
      </c>
      <c r="AQ359" s="10">
        <f t="shared" si="320"/>
        <v>0</v>
      </c>
      <c r="AR359" s="10">
        <f t="shared" si="321"/>
        <v>0</v>
      </c>
      <c r="AS359" s="10">
        <f t="shared" si="322"/>
        <v>0</v>
      </c>
      <c r="AT359" s="10">
        <f t="shared" si="323"/>
        <v>0</v>
      </c>
      <c r="AU359" s="10">
        <f t="shared" si="324"/>
        <v>0</v>
      </c>
      <c r="AV359" s="10">
        <f t="shared" si="325"/>
        <v>0</v>
      </c>
      <c r="AW359" s="10">
        <f t="shared" si="326"/>
        <v>0</v>
      </c>
      <c r="AX359" s="10">
        <f t="shared" si="327"/>
        <v>0</v>
      </c>
    </row>
    <row r="360" spans="1:50" x14ac:dyDescent="0.2">
      <c r="A360" s="8">
        <v>14920</v>
      </c>
      <c r="B360" s="89" t="str">
        <f t="shared" si="279"/>
        <v>Liverpool Plains</v>
      </c>
      <c r="C360" s="9" t="str">
        <f t="shared" si="280"/>
        <v>NIRW</v>
      </c>
      <c r="D360" s="51" t="str">
        <f t="shared" si="281"/>
        <v>N</v>
      </c>
      <c r="E360" s="10" t="str">
        <f t="shared" si="282"/>
        <v>NJO</v>
      </c>
      <c r="F360" s="10">
        <f t="shared" si="283"/>
        <v>7853</v>
      </c>
      <c r="G360" s="10">
        <f t="shared" si="284"/>
        <v>2825</v>
      </c>
      <c r="H360" s="10">
        <f t="shared" si="285"/>
        <v>2.7798230088495575</v>
      </c>
      <c r="I360" s="10">
        <f t="shared" si="286"/>
        <v>5082.2</v>
      </c>
      <c r="J360" s="10">
        <f t="shared" si="287"/>
        <v>1.5</v>
      </c>
      <c r="K360" s="10">
        <f t="shared" si="288"/>
        <v>408</v>
      </c>
      <c r="L360" s="10" t="str">
        <f t="shared" si="289"/>
        <v>Y</v>
      </c>
      <c r="M360" s="10">
        <f t="shared" si="290"/>
        <v>2576</v>
      </c>
      <c r="N360" s="10">
        <f t="shared" si="291"/>
        <v>2556</v>
      </c>
      <c r="O360" s="10">
        <f t="shared" si="292"/>
        <v>0</v>
      </c>
      <c r="P360" s="10">
        <f t="shared" si="293"/>
        <v>0</v>
      </c>
      <c r="Q360" s="10">
        <f t="shared" si="294"/>
        <v>2825</v>
      </c>
      <c r="R360" s="10" t="str">
        <f t="shared" si="295"/>
        <v>Yes</v>
      </c>
      <c r="S360" s="10">
        <f t="shared" si="296"/>
        <v>0</v>
      </c>
      <c r="T360" s="10">
        <f t="shared" si="297"/>
        <v>0</v>
      </c>
      <c r="U360" s="10">
        <f t="shared" si="298"/>
        <v>0</v>
      </c>
      <c r="V360" s="10">
        <f t="shared" si="299"/>
        <v>0</v>
      </c>
      <c r="W360" s="10">
        <f t="shared" si="300"/>
        <v>0</v>
      </c>
      <c r="X360" s="10">
        <f t="shared" si="301"/>
        <v>0</v>
      </c>
      <c r="Y360" s="10">
        <f t="shared" si="302"/>
        <v>0</v>
      </c>
      <c r="Z360" s="10">
        <f t="shared" si="303"/>
        <v>0</v>
      </c>
      <c r="AA360" s="10">
        <f t="shared" si="304"/>
        <v>0</v>
      </c>
      <c r="AB360" s="10">
        <f t="shared" si="305"/>
        <v>0</v>
      </c>
      <c r="AC360" s="10">
        <f t="shared" si="306"/>
        <v>0</v>
      </c>
      <c r="AD360" s="10">
        <f t="shared" si="307"/>
        <v>0</v>
      </c>
      <c r="AE360" s="10">
        <f t="shared" si="308"/>
        <v>0</v>
      </c>
      <c r="AF360" s="10">
        <f t="shared" si="309"/>
        <v>0</v>
      </c>
      <c r="AG360" s="10">
        <f t="shared" si="310"/>
        <v>0</v>
      </c>
      <c r="AH360" s="10">
        <f t="shared" si="311"/>
        <v>0</v>
      </c>
      <c r="AI360" s="10">
        <f t="shared" si="312"/>
        <v>0</v>
      </c>
      <c r="AJ360" s="10">
        <f t="shared" si="313"/>
        <v>0</v>
      </c>
      <c r="AK360" s="10">
        <f t="shared" si="314"/>
        <v>0</v>
      </c>
      <c r="AL360" s="10">
        <f t="shared" si="315"/>
        <v>0</v>
      </c>
      <c r="AM360" s="10">
        <f t="shared" si="316"/>
        <v>0</v>
      </c>
      <c r="AN360" s="46">
        <f t="shared" si="317"/>
        <v>0</v>
      </c>
      <c r="AO360" s="10">
        <f t="shared" si="318"/>
        <v>0</v>
      </c>
      <c r="AP360" s="10">
        <f t="shared" si="319"/>
        <v>0</v>
      </c>
      <c r="AQ360" s="10">
        <f t="shared" si="320"/>
        <v>0</v>
      </c>
      <c r="AR360" s="10">
        <f t="shared" si="321"/>
        <v>0</v>
      </c>
      <c r="AS360" s="10">
        <f t="shared" si="322"/>
        <v>0</v>
      </c>
      <c r="AT360" s="10">
        <f t="shared" si="323"/>
        <v>0</v>
      </c>
      <c r="AU360" s="10">
        <f t="shared" si="324"/>
        <v>0</v>
      </c>
      <c r="AV360" s="10">
        <f t="shared" si="325"/>
        <v>0</v>
      </c>
      <c r="AW360" s="10">
        <f t="shared" si="326"/>
        <v>0</v>
      </c>
      <c r="AX360" s="10">
        <f t="shared" si="327"/>
        <v>0</v>
      </c>
    </row>
    <row r="361" spans="1:50" x14ac:dyDescent="0.2">
      <c r="A361" s="8">
        <v>14950</v>
      </c>
      <c r="B361" s="89" t="str">
        <f t="shared" si="279"/>
        <v>Lockhart</v>
      </c>
      <c r="C361" s="9" t="str">
        <f t="shared" si="280"/>
        <v>REROC</v>
      </c>
      <c r="D361" s="51" t="str">
        <f t="shared" si="281"/>
        <v>N</v>
      </c>
      <c r="E361" s="10" t="str">
        <f t="shared" si="282"/>
        <v>RJO</v>
      </c>
      <c r="F361" s="10">
        <f t="shared" si="283"/>
        <v>3259</v>
      </c>
      <c r="G361" s="10">
        <f t="shared" si="284"/>
        <v>2642</v>
      </c>
      <c r="H361" s="10">
        <f t="shared" si="285"/>
        <v>1.2335352006056017</v>
      </c>
      <c r="I361" s="10">
        <f t="shared" si="286"/>
        <v>2895.8</v>
      </c>
      <c r="J361" s="10">
        <f t="shared" si="287"/>
        <v>1.1000000000000001</v>
      </c>
      <c r="K361" s="10">
        <f t="shared" si="288"/>
        <v>408</v>
      </c>
      <c r="L361" s="10" t="str">
        <f t="shared" si="289"/>
        <v>Y</v>
      </c>
      <c r="M361" s="10">
        <f t="shared" si="290"/>
        <v>2642</v>
      </c>
      <c r="N361" s="10">
        <f t="shared" si="291"/>
        <v>2642</v>
      </c>
      <c r="O361" s="10">
        <f t="shared" si="292"/>
        <v>0</v>
      </c>
      <c r="P361" s="10">
        <f t="shared" si="293"/>
        <v>2642</v>
      </c>
      <c r="Q361" s="10">
        <f t="shared" si="294"/>
        <v>2642</v>
      </c>
      <c r="R361" s="10" t="str">
        <f t="shared" si="295"/>
        <v>Yes</v>
      </c>
      <c r="S361" s="10">
        <f t="shared" si="296"/>
        <v>0</v>
      </c>
      <c r="T361" s="10">
        <f t="shared" si="297"/>
        <v>0</v>
      </c>
      <c r="U361" s="10">
        <f t="shared" si="298"/>
        <v>0</v>
      </c>
      <c r="V361" s="10">
        <f t="shared" si="299"/>
        <v>0</v>
      </c>
      <c r="W361" s="10">
        <f t="shared" si="300"/>
        <v>0</v>
      </c>
      <c r="X361" s="10">
        <f t="shared" si="301"/>
        <v>0</v>
      </c>
      <c r="Y361" s="10">
        <f t="shared" si="302"/>
        <v>0</v>
      </c>
      <c r="Z361" s="10">
        <f t="shared" si="303"/>
        <v>0</v>
      </c>
      <c r="AA361" s="10">
        <f t="shared" si="304"/>
        <v>0</v>
      </c>
      <c r="AB361" s="10">
        <f t="shared" si="305"/>
        <v>0</v>
      </c>
      <c r="AC361" s="10">
        <f t="shared" si="306"/>
        <v>0</v>
      </c>
      <c r="AD361" s="10">
        <f t="shared" si="307"/>
        <v>0</v>
      </c>
      <c r="AE361" s="10">
        <f t="shared" si="308"/>
        <v>0</v>
      </c>
      <c r="AF361" s="10">
        <f t="shared" si="309"/>
        <v>0</v>
      </c>
      <c r="AG361" s="10">
        <f t="shared" si="310"/>
        <v>0</v>
      </c>
      <c r="AH361" s="10">
        <f t="shared" si="311"/>
        <v>0</v>
      </c>
      <c r="AI361" s="10">
        <f t="shared" si="312"/>
        <v>0</v>
      </c>
      <c r="AJ361" s="10">
        <f t="shared" si="313"/>
        <v>0</v>
      </c>
      <c r="AK361" s="10">
        <f t="shared" si="314"/>
        <v>0</v>
      </c>
      <c r="AL361" s="10">
        <f t="shared" si="315"/>
        <v>0</v>
      </c>
      <c r="AM361" s="10">
        <f t="shared" si="316"/>
        <v>0</v>
      </c>
      <c r="AN361" s="46">
        <f t="shared" si="317"/>
        <v>0</v>
      </c>
      <c r="AO361" s="10">
        <f t="shared" si="318"/>
        <v>0</v>
      </c>
      <c r="AP361" s="10">
        <f t="shared" si="319"/>
        <v>0</v>
      </c>
      <c r="AQ361" s="10">
        <f t="shared" si="320"/>
        <v>0</v>
      </c>
      <c r="AR361" s="10">
        <f t="shared" si="321"/>
        <v>0</v>
      </c>
      <c r="AS361" s="10">
        <f t="shared" si="322"/>
        <v>0</v>
      </c>
      <c r="AT361" s="10">
        <f t="shared" si="323"/>
        <v>0</v>
      </c>
      <c r="AU361" s="10">
        <f t="shared" si="324"/>
        <v>0</v>
      </c>
      <c r="AV361" s="10">
        <f t="shared" si="325"/>
        <v>0</v>
      </c>
      <c r="AW361" s="10">
        <f t="shared" si="326"/>
        <v>0</v>
      </c>
      <c r="AX361" s="10">
        <f t="shared" si="327"/>
        <v>0</v>
      </c>
    </row>
    <row r="362" spans="1:50" x14ac:dyDescent="0.2">
      <c r="A362" s="8">
        <v>15240</v>
      </c>
      <c r="B362" s="89" t="str">
        <f t="shared" si="279"/>
        <v>Mid-Coast</v>
      </c>
      <c r="C362" s="9" t="str">
        <f t="shared" si="280"/>
        <v>MidWaste</v>
      </c>
      <c r="D362" s="51" t="str">
        <f t="shared" si="281"/>
        <v>R</v>
      </c>
      <c r="E362" s="10" t="str">
        <f t="shared" si="282"/>
        <v>HJO</v>
      </c>
      <c r="F362" s="10">
        <f t="shared" si="283"/>
        <v>94395</v>
      </c>
      <c r="G362" s="10">
        <f t="shared" si="284"/>
        <v>47401</v>
      </c>
      <c r="H362" s="10">
        <f t="shared" si="285"/>
        <v>1.9914136832556275</v>
      </c>
      <c r="I362" s="10">
        <f t="shared" si="286"/>
        <v>10053.9</v>
      </c>
      <c r="J362" s="10">
        <f t="shared" si="287"/>
        <v>9.4</v>
      </c>
      <c r="K362" s="10">
        <f t="shared" si="288"/>
        <v>370</v>
      </c>
      <c r="L362" s="10" t="str">
        <f t="shared" si="289"/>
        <v>Y</v>
      </c>
      <c r="M362" s="10">
        <f t="shared" si="290"/>
        <v>45518</v>
      </c>
      <c r="N362" s="10">
        <f t="shared" si="291"/>
        <v>45143</v>
      </c>
      <c r="O362" s="10">
        <f t="shared" si="292"/>
        <v>37979</v>
      </c>
      <c r="P362" s="10">
        <f t="shared" si="293"/>
        <v>0</v>
      </c>
      <c r="Q362" s="10">
        <f t="shared" si="294"/>
        <v>47401</v>
      </c>
      <c r="R362" s="10" t="str">
        <f t="shared" si="295"/>
        <v>Yes</v>
      </c>
      <c r="S362" s="10" t="str">
        <f t="shared" si="296"/>
        <v>MidCoast Shire</v>
      </c>
      <c r="T362" s="10">
        <f t="shared" si="297"/>
        <v>0</v>
      </c>
      <c r="U362" s="10">
        <f t="shared" si="298"/>
        <v>0</v>
      </c>
      <c r="V362" s="10">
        <f t="shared" si="299"/>
        <v>0</v>
      </c>
      <c r="W362" s="10">
        <f t="shared" si="300"/>
        <v>0</v>
      </c>
      <c r="X362" s="10">
        <f t="shared" si="301"/>
        <v>0</v>
      </c>
      <c r="Y362" s="10">
        <f t="shared" si="302"/>
        <v>0</v>
      </c>
      <c r="Z362" s="10">
        <f t="shared" si="303"/>
        <v>0</v>
      </c>
      <c r="AA362" s="10">
        <f t="shared" si="304"/>
        <v>0</v>
      </c>
      <c r="AB362" s="10">
        <f t="shared" si="305"/>
        <v>0</v>
      </c>
      <c r="AC362" s="10">
        <f t="shared" si="306"/>
        <v>0</v>
      </c>
      <c r="AD362" s="10">
        <f t="shared" si="307"/>
        <v>0</v>
      </c>
      <c r="AE362" s="10">
        <f t="shared" si="308"/>
        <v>0</v>
      </c>
      <c r="AF362" s="10">
        <f t="shared" si="309"/>
        <v>0</v>
      </c>
      <c r="AG362" s="10">
        <f t="shared" si="310"/>
        <v>0</v>
      </c>
      <c r="AH362" s="10">
        <f t="shared" si="311"/>
        <v>0</v>
      </c>
      <c r="AI362" s="10">
        <f t="shared" si="312"/>
        <v>0</v>
      </c>
      <c r="AJ362" s="10">
        <f t="shared" si="313"/>
        <v>0</v>
      </c>
      <c r="AK362" s="10">
        <f t="shared" si="314"/>
        <v>0</v>
      </c>
      <c r="AL362" s="10">
        <f t="shared" si="315"/>
        <v>0</v>
      </c>
      <c r="AM362" s="10">
        <f t="shared" si="316"/>
        <v>0</v>
      </c>
      <c r="AN362" s="46">
        <f t="shared" si="317"/>
        <v>0</v>
      </c>
      <c r="AO362" s="10">
        <f t="shared" si="318"/>
        <v>0</v>
      </c>
      <c r="AP362" s="10">
        <f t="shared" si="319"/>
        <v>0</v>
      </c>
      <c r="AQ362" s="10">
        <f t="shared" si="320"/>
        <v>0</v>
      </c>
      <c r="AR362" s="10">
        <f t="shared" si="321"/>
        <v>0</v>
      </c>
      <c r="AS362" s="10">
        <f t="shared" si="322"/>
        <v>0</v>
      </c>
      <c r="AT362" s="10">
        <f t="shared" si="323"/>
        <v>0</v>
      </c>
      <c r="AU362" s="10">
        <f t="shared" si="324"/>
        <v>0</v>
      </c>
      <c r="AV362" s="10">
        <f t="shared" si="325"/>
        <v>0</v>
      </c>
      <c r="AW362" s="10">
        <f t="shared" si="326"/>
        <v>0</v>
      </c>
      <c r="AX362" s="10">
        <f t="shared" si="327"/>
        <v>0</v>
      </c>
    </row>
    <row r="363" spans="1:50" x14ac:dyDescent="0.2">
      <c r="A363" s="8">
        <v>15270</v>
      </c>
      <c r="B363" s="89" t="str">
        <f t="shared" si="279"/>
        <v>Mid-Western Regional</v>
      </c>
      <c r="C363" s="9" t="str">
        <f t="shared" si="280"/>
        <v>NetWaste</v>
      </c>
      <c r="D363" s="51" t="str">
        <f t="shared" si="281"/>
        <v>N</v>
      </c>
      <c r="E363" s="10" t="str">
        <f t="shared" si="282"/>
        <v>OJO</v>
      </c>
      <c r="F363" s="10">
        <f t="shared" si="283"/>
        <v>25367</v>
      </c>
      <c r="G363" s="10">
        <f t="shared" si="284"/>
        <v>15594</v>
      </c>
      <c r="H363" s="10">
        <f t="shared" si="285"/>
        <v>1.6267154033602669</v>
      </c>
      <c r="I363" s="10">
        <f t="shared" si="286"/>
        <v>8752.2999999999993</v>
      </c>
      <c r="J363" s="10">
        <f t="shared" si="287"/>
        <v>2.9</v>
      </c>
      <c r="K363" s="10">
        <f t="shared" si="288"/>
        <v>297</v>
      </c>
      <c r="L363" s="10" t="str">
        <f t="shared" si="289"/>
        <v>Y</v>
      </c>
      <c r="M363" s="10">
        <f t="shared" si="290"/>
        <v>8048</v>
      </c>
      <c r="N363" s="10">
        <f t="shared" si="291"/>
        <v>8048</v>
      </c>
      <c r="O363" s="10">
        <f t="shared" si="292"/>
        <v>0</v>
      </c>
      <c r="P363" s="10">
        <f t="shared" si="293"/>
        <v>8048</v>
      </c>
      <c r="Q363" s="10">
        <f t="shared" si="294"/>
        <v>0</v>
      </c>
      <c r="R363" s="10" t="str">
        <f t="shared" si="295"/>
        <v>Yes</v>
      </c>
      <c r="S363" s="10" t="str">
        <f t="shared" si="296"/>
        <v>Mudgee Waste Facility 31 Blain Road, Caerleon,</v>
      </c>
      <c r="T363" s="10" t="str">
        <f t="shared" si="297"/>
        <v>Kandos Waste Transfer Station 110 Kandos Tip Road, Kandos</v>
      </c>
      <c r="U363" s="10" t="str">
        <f t="shared" si="298"/>
        <v>Rural Waste Transfer Stations x13</v>
      </c>
      <c r="V363" s="10">
        <f t="shared" si="299"/>
        <v>0</v>
      </c>
      <c r="W363" s="10">
        <f t="shared" si="300"/>
        <v>0</v>
      </c>
      <c r="X363" s="10">
        <f t="shared" si="301"/>
        <v>0</v>
      </c>
      <c r="Y363" s="10">
        <f t="shared" si="302"/>
        <v>0</v>
      </c>
      <c r="Z363" s="10">
        <f t="shared" si="303"/>
        <v>0</v>
      </c>
      <c r="AA363" s="10">
        <f t="shared" si="304"/>
        <v>0</v>
      </c>
      <c r="AB363" s="10">
        <f t="shared" si="305"/>
        <v>0</v>
      </c>
      <c r="AC363" s="10">
        <f t="shared" si="306"/>
        <v>0</v>
      </c>
      <c r="AD363" s="10">
        <f t="shared" si="307"/>
        <v>0</v>
      </c>
      <c r="AE363" s="10">
        <f t="shared" si="308"/>
        <v>0</v>
      </c>
      <c r="AF363" s="10">
        <f t="shared" si="309"/>
        <v>0</v>
      </c>
      <c r="AG363" s="10">
        <f t="shared" si="310"/>
        <v>0</v>
      </c>
      <c r="AH363" s="10">
        <f t="shared" si="311"/>
        <v>0</v>
      </c>
      <c r="AI363" s="10">
        <f t="shared" si="312"/>
        <v>0</v>
      </c>
      <c r="AJ363" s="10">
        <f t="shared" si="313"/>
        <v>0</v>
      </c>
      <c r="AK363" s="10">
        <f t="shared" si="314"/>
        <v>0</v>
      </c>
      <c r="AL363" s="10">
        <f t="shared" si="315"/>
        <v>0</v>
      </c>
      <c r="AM363" s="10">
        <f t="shared" si="316"/>
        <v>0</v>
      </c>
      <c r="AN363" s="46">
        <f t="shared" si="317"/>
        <v>0</v>
      </c>
      <c r="AO363" s="10">
        <f t="shared" si="318"/>
        <v>0</v>
      </c>
      <c r="AP363" s="10">
        <f t="shared" si="319"/>
        <v>0</v>
      </c>
      <c r="AQ363" s="10">
        <f t="shared" si="320"/>
        <v>0</v>
      </c>
      <c r="AR363" s="10">
        <f t="shared" si="321"/>
        <v>0</v>
      </c>
      <c r="AS363" s="10">
        <f t="shared" si="322"/>
        <v>0</v>
      </c>
      <c r="AT363" s="10">
        <f t="shared" si="323"/>
        <v>0</v>
      </c>
      <c r="AU363" s="10">
        <f t="shared" si="324"/>
        <v>0</v>
      </c>
      <c r="AV363" s="10">
        <f t="shared" si="325"/>
        <v>0</v>
      </c>
      <c r="AW363" s="10">
        <f t="shared" si="326"/>
        <v>0</v>
      </c>
      <c r="AX363" s="10">
        <f t="shared" si="327"/>
        <v>0</v>
      </c>
    </row>
    <row r="364" spans="1:50" x14ac:dyDescent="0.2">
      <c r="A364" s="8">
        <v>15300</v>
      </c>
      <c r="B364" s="89" t="str">
        <f t="shared" si="279"/>
        <v>Moree Plains</v>
      </c>
      <c r="C364" s="9" t="str">
        <f t="shared" si="280"/>
        <v>NIRW</v>
      </c>
      <c r="D364" s="51" t="str">
        <f t="shared" si="281"/>
        <v>N</v>
      </c>
      <c r="E364" s="10" t="str">
        <f t="shared" si="282"/>
        <v>NEJO</v>
      </c>
      <c r="F364" s="10">
        <f t="shared" si="283"/>
        <v>13077</v>
      </c>
      <c r="G364" s="10">
        <f t="shared" si="284"/>
        <v>6359</v>
      </c>
      <c r="H364" s="10">
        <f t="shared" si="285"/>
        <v>2.0564554175184777</v>
      </c>
      <c r="I364" s="10">
        <f t="shared" si="286"/>
        <v>17906.5</v>
      </c>
      <c r="J364" s="10">
        <f t="shared" si="287"/>
        <v>0.7</v>
      </c>
      <c r="K364" s="10">
        <f t="shared" si="288"/>
        <v>440</v>
      </c>
      <c r="L364" s="10" t="str">
        <f t="shared" si="289"/>
        <v>Y</v>
      </c>
      <c r="M364" s="10">
        <f t="shared" si="290"/>
        <v>6359</v>
      </c>
      <c r="N364" s="10">
        <f t="shared" si="291"/>
        <v>613</v>
      </c>
      <c r="O364" s="10">
        <f t="shared" si="292"/>
        <v>0</v>
      </c>
      <c r="P364" s="10">
        <f t="shared" si="293"/>
        <v>4658</v>
      </c>
      <c r="Q364" s="10">
        <f t="shared" si="294"/>
        <v>6359</v>
      </c>
      <c r="R364" s="10" t="str">
        <f t="shared" si="295"/>
        <v>Yes</v>
      </c>
      <c r="S364" s="10" t="str">
        <f t="shared" si="296"/>
        <v>Moree Waste Management Facility</v>
      </c>
      <c r="T364" s="10" t="str">
        <f t="shared" si="297"/>
        <v xml:space="preserve">Biniguy Landfill </v>
      </c>
      <c r="U364" s="10" t="str">
        <f t="shared" si="298"/>
        <v xml:space="preserve">Boggabilla Landfill </v>
      </c>
      <c r="V364" s="10" t="str">
        <f t="shared" si="299"/>
        <v>Boomi Landfill</v>
      </c>
      <c r="W364" s="10" t="str">
        <f t="shared" si="300"/>
        <v xml:space="preserve">Garah Landfill </v>
      </c>
      <c r="X364" s="10" t="str">
        <f t="shared" si="301"/>
        <v xml:space="preserve">Gurley Landfill </v>
      </c>
      <c r="Y364" s="10" t="str">
        <f t="shared" si="302"/>
        <v xml:space="preserve">Mungindi Landfill </v>
      </c>
      <c r="Z364" s="10">
        <f t="shared" si="303"/>
        <v>0</v>
      </c>
      <c r="AA364" s="10">
        <f t="shared" si="304"/>
        <v>0</v>
      </c>
      <c r="AB364" s="10">
        <f t="shared" si="305"/>
        <v>0</v>
      </c>
      <c r="AC364" s="10">
        <f t="shared" si="306"/>
        <v>0</v>
      </c>
      <c r="AD364" s="10">
        <f t="shared" si="307"/>
        <v>0</v>
      </c>
      <c r="AE364" s="10">
        <f t="shared" si="308"/>
        <v>0</v>
      </c>
      <c r="AF364" s="10">
        <f t="shared" si="309"/>
        <v>0</v>
      </c>
      <c r="AG364" s="10">
        <f t="shared" si="310"/>
        <v>0</v>
      </c>
      <c r="AH364" s="10">
        <f t="shared" si="311"/>
        <v>0</v>
      </c>
      <c r="AI364" s="10">
        <f t="shared" si="312"/>
        <v>0</v>
      </c>
      <c r="AJ364" s="10">
        <f t="shared" si="313"/>
        <v>0</v>
      </c>
      <c r="AK364" s="10">
        <f t="shared" si="314"/>
        <v>0</v>
      </c>
      <c r="AL364" s="10">
        <f t="shared" si="315"/>
        <v>0</v>
      </c>
      <c r="AM364" s="10">
        <f t="shared" si="316"/>
        <v>0</v>
      </c>
      <c r="AN364" s="46">
        <f t="shared" si="317"/>
        <v>0</v>
      </c>
      <c r="AO364" s="10">
        <f t="shared" si="318"/>
        <v>0</v>
      </c>
      <c r="AP364" s="10">
        <f t="shared" si="319"/>
        <v>0</v>
      </c>
      <c r="AQ364" s="10">
        <f t="shared" si="320"/>
        <v>0</v>
      </c>
      <c r="AR364" s="10">
        <f t="shared" si="321"/>
        <v>0</v>
      </c>
      <c r="AS364" s="10">
        <f t="shared" si="322"/>
        <v>0</v>
      </c>
      <c r="AT364" s="10">
        <f t="shared" si="323"/>
        <v>0</v>
      </c>
      <c r="AU364" s="10">
        <f t="shared" si="324"/>
        <v>0</v>
      </c>
      <c r="AV364" s="10">
        <f t="shared" si="325"/>
        <v>0</v>
      </c>
      <c r="AW364" s="10">
        <f t="shared" si="326"/>
        <v>0</v>
      </c>
      <c r="AX364" s="10">
        <f t="shared" si="327"/>
        <v>0</v>
      </c>
    </row>
    <row r="365" spans="1:50" x14ac:dyDescent="0.2">
      <c r="A365" s="8">
        <v>15520</v>
      </c>
      <c r="B365" s="89" t="str">
        <f t="shared" si="279"/>
        <v>Murray River</v>
      </c>
      <c r="C365" s="9" t="str">
        <f t="shared" si="280"/>
        <v>RAMJO Murray</v>
      </c>
      <c r="D365" s="51" t="str">
        <f t="shared" si="281"/>
        <v>N</v>
      </c>
      <c r="E365" s="10" t="str">
        <f t="shared" si="282"/>
        <v>RMJO</v>
      </c>
      <c r="F365" s="10">
        <f t="shared" si="283"/>
        <v>12330</v>
      </c>
      <c r="G365" s="10">
        <f t="shared" si="284"/>
        <v>8982</v>
      </c>
      <c r="H365" s="10">
        <f t="shared" si="285"/>
        <v>1.3727454909819639</v>
      </c>
      <c r="I365" s="10">
        <f t="shared" si="286"/>
        <v>11863.5</v>
      </c>
      <c r="J365" s="10">
        <f t="shared" si="287"/>
        <v>1</v>
      </c>
      <c r="K365" s="10">
        <f t="shared" si="288"/>
        <v>363.52</v>
      </c>
      <c r="L365" s="10" t="str">
        <f t="shared" si="289"/>
        <v>Y</v>
      </c>
      <c r="M365" s="10">
        <f t="shared" si="290"/>
        <v>5427</v>
      </c>
      <c r="N365" s="10">
        <f t="shared" si="291"/>
        <v>5271</v>
      </c>
      <c r="O365" s="10">
        <f t="shared" si="292"/>
        <v>2581</v>
      </c>
      <c r="P365" s="10">
        <f t="shared" si="293"/>
        <v>0</v>
      </c>
      <c r="Q365" s="10">
        <f t="shared" si="294"/>
        <v>0</v>
      </c>
      <c r="R365" s="10" t="str">
        <f t="shared" si="295"/>
        <v>Yes</v>
      </c>
      <c r="S365" s="10" t="str">
        <f t="shared" si="296"/>
        <v>Moama Waste Management facility</v>
      </c>
      <c r="T365" s="10" t="str">
        <f t="shared" si="297"/>
        <v>Goodnight TS</v>
      </c>
      <c r="U365" s="10" t="str">
        <f t="shared" si="298"/>
        <v>Koraleigh Landfill</v>
      </c>
      <c r="V365" s="10" t="str">
        <f t="shared" si="299"/>
        <v>Moulamein Landfill</v>
      </c>
      <c r="W365" s="10" t="str">
        <f t="shared" si="300"/>
        <v>Wakool Landfill</v>
      </c>
      <c r="X365" s="10" t="str">
        <f t="shared" si="301"/>
        <v>Barham TS</v>
      </c>
      <c r="Y365" s="10" t="str">
        <f t="shared" si="302"/>
        <v>Mathoura TS</v>
      </c>
      <c r="Z365" s="10">
        <f t="shared" si="303"/>
        <v>0</v>
      </c>
      <c r="AA365" s="10">
        <f t="shared" si="304"/>
        <v>0</v>
      </c>
      <c r="AB365" s="10">
        <f t="shared" si="305"/>
        <v>0</v>
      </c>
      <c r="AC365" s="10">
        <f t="shared" si="306"/>
        <v>0</v>
      </c>
      <c r="AD365" s="10">
        <f t="shared" si="307"/>
        <v>0</v>
      </c>
      <c r="AE365" s="10">
        <f t="shared" si="308"/>
        <v>0</v>
      </c>
      <c r="AF365" s="10">
        <f t="shared" si="309"/>
        <v>0</v>
      </c>
      <c r="AG365" s="10">
        <f t="shared" si="310"/>
        <v>0</v>
      </c>
      <c r="AH365" s="10">
        <f t="shared" si="311"/>
        <v>0</v>
      </c>
      <c r="AI365" s="10">
        <f t="shared" si="312"/>
        <v>0</v>
      </c>
      <c r="AJ365" s="10">
        <f t="shared" si="313"/>
        <v>0</v>
      </c>
      <c r="AK365" s="10">
        <f t="shared" si="314"/>
        <v>0</v>
      </c>
      <c r="AL365" s="10">
        <f t="shared" si="315"/>
        <v>0</v>
      </c>
      <c r="AM365" s="10">
        <f t="shared" si="316"/>
        <v>0</v>
      </c>
      <c r="AN365" s="46">
        <f t="shared" si="317"/>
        <v>0</v>
      </c>
      <c r="AO365" s="10">
        <f t="shared" si="318"/>
        <v>0</v>
      </c>
      <c r="AP365" s="10">
        <f t="shared" si="319"/>
        <v>0</v>
      </c>
      <c r="AQ365" s="10">
        <f t="shared" si="320"/>
        <v>0</v>
      </c>
      <c r="AR365" s="10">
        <f t="shared" si="321"/>
        <v>0</v>
      </c>
      <c r="AS365" s="10">
        <f t="shared" si="322"/>
        <v>0</v>
      </c>
      <c r="AT365" s="10">
        <f t="shared" si="323"/>
        <v>0</v>
      </c>
      <c r="AU365" s="10">
        <f t="shared" si="324"/>
        <v>0</v>
      </c>
      <c r="AV365" s="10">
        <f t="shared" si="325"/>
        <v>0</v>
      </c>
      <c r="AW365" s="10">
        <f t="shared" si="326"/>
        <v>0</v>
      </c>
      <c r="AX365" s="10">
        <f t="shared" si="327"/>
        <v>0</v>
      </c>
    </row>
    <row r="366" spans="1:50" x14ac:dyDescent="0.2">
      <c r="A366" s="8">
        <v>15560</v>
      </c>
      <c r="B366" s="89" t="str">
        <f t="shared" si="279"/>
        <v>Murrumbidgee</v>
      </c>
      <c r="C366" s="9" t="str">
        <f t="shared" si="280"/>
        <v>RAMJO Riverina</v>
      </c>
      <c r="D366" s="51" t="str">
        <f t="shared" si="281"/>
        <v>N</v>
      </c>
      <c r="E366" s="10" t="str">
        <f t="shared" si="282"/>
        <v>RMJO</v>
      </c>
      <c r="F366" s="10">
        <f t="shared" si="283"/>
        <v>3916</v>
      </c>
      <c r="G366" s="10">
        <f t="shared" si="284"/>
        <v>2613</v>
      </c>
      <c r="H366" s="10">
        <f t="shared" si="285"/>
        <v>1.4986605434366629</v>
      </c>
      <c r="I366" s="10">
        <f t="shared" si="286"/>
        <v>6880.8</v>
      </c>
      <c r="J366" s="10">
        <f t="shared" si="287"/>
        <v>0.6</v>
      </c>
      <c r="K366" s="10">
        <f t="shared" si="288"/>
        <v>290</v>
      </c>
      <c r="L366" s="10" t="str">
        <f t="shared" si="289"/>
        <v>Y</v>
      </c>
      <c r="M366" s="10">
        <f t="shared" si="290"/>
        <v>941</v>
      </c>
      <c r="N366" s="10">
        <f t="shared" si="291"/>
        <v>811</v>
      </c>
      <c r="O366" s="10">
        <f t="shared" si="292"/>
        <v>0</v>
      </c>
      <c r="P366" s="10">
        <f t="shared" si="293"/>
        <v>0</v>
      </c>
      <c r="Q366" s="10">
        <f t="shared" si="294"/>
        <v>2613</v>
      </c>
      <c r="R366" s="10" t="str">
        <f t="shared" si="295"/>
        <v>Yes</v>
      </c>
      <c r="S366" s="10" t="str">
        <f t="shared" si="296"/>
        <v>Jerilderie Tip</v>
      </c>
      <c r="T366" s="10" t="str">
        <f t="shared" si="297"/>
        <v>Jerilderie Common Tip</v>
      </c>
      <c r="U366" s="10" t="str">
        <f t="shared" si="298"/>
        <v>Darlington Point Garbage Depot</v>
      </c>
      <c r="V366" s="10" t="str">
        <f t="shared" si="299"/>
        <v>Coleambally Garbage Depot</v>
      </c>
      <c r="W366" s="10">
        <f t="shared" si="300"/>
        <v>0</v>
      </c>
      <c r="X366" s="10">
        <f t="shared" si="301"/>
        <v>0</v>
      </c>
      <c r="Y366" s="10">
        <f t="shared" si="302"/>
        <v>0</v>
      </c>
      <c r="Z366" s="10">
        <f t="shared" si="303"/>
        <v>0</v>
      </c>
      <c r="AA366" s="10">
        <f t="shared" si="304"/>
        <v>0</v>
      </c>
      <c r="AB366" s="10">
        <f t="shared" si="305"/>
        <v>0</v>
      </c>
      <c r="AC366" s="10">
        <f t="shared" si="306"/>
        <v>0</v>
      </c>
      <c r="AD366" s="10">
        <f t="shared" si="307"/>
        <v>0</v>
      </c>
      <c r="AE366" s="10">
        <f t="shared" si="308"/>
        <v>0</v>
      </c>
      <c r="AF366" s="10">
        <f t="shared" si="309"/>
        <v>0</v>
      </c>
      <c r="AG366" s="10">
        <f t="shared" si="310"/>
        <v>0</v>
      </c>
      <c r="AH366" s="10">
        <f t="shared" si="311"/>
        <v>0</v>
      </c>
      <c r="AI366" s="10">
        <f t="shared" si="312"/>
        <v>0</v>
      </c>
      <c r="AJ366" s="10">
        <f t="shared" si="313"/>
        <v>0</v>
      </c>
      <c r="AK366" s="10">
        <f t="shared" si="314"/>
        <v>0</v>
      </c>
      <c r="AL366" s="10">
        <f t="shared" si="315"/>
        <v>0</v>
      </c>
      <c r="AM366" s="10">
        <f t="shared" si="316"/>
        <v>0</v>
      </c>
      <c r="AN366" s="46">
        <f t="shared" si="317"/>
        <v>0</v>
      </c>
      <c r="AO366" s="10">
        <f t="shared" si="318"/>
        <v>0</v>
      </c>
      <c r="AP366" s="10">
        <f t="shared" si="319"/>
        <v>0</v>
      </c>
      <c r="AQ366" s="10">
        <f t="shared" si="320"/>
        <v>0</v>
      </c>
      <c r="AR366" s="10">
        <f t="shared" si="321"/>
        <v>0</v>
      </c>
      <c r="AS366" s="10">
        <f t="shared" si="322"/>
        <v>0</v>
      </c>
      <c r="AT366" s="10">
        <f t="shared" si="323"/>
        <v>0</v>
      </c>
      <c r="AU366" s="10">
        <f t="shared" si="324"/>
        <v>0</v>
      </c>
      <c r="AV366" s="10">
        <f t="shared" si="325"/>
        <v>0</v>
      </c>
      <c r="AW366" s="10">
        <f t="shared" si="326"/>
        <v>0</v>
      </c>
      <c r="AX366" s="10">
        <f t="shared" si="327"/>
        <v>0</v>
      </c>
    </row>
    <row r="367" spans="1:50" x14ac:dyDescent="0.2">
      <c r="A367" s="8">
        <v>15650</v>
      </c>
      <c r="B367" s="89" t="str">
        <f t="shared" si="279"/>
        <v>Muswellbrook</v>
      </c>
      <c r="C367" s="9" t="str">
        <f t="shared" si="280"/>
        <v>Hunter</v>
      </c>
      <c r="D367" s="51" t="str">
        <f t="shared" si="281"/>
        <v>R</v>
      </c>
      <c r="E367" s="10" t="str">
        <f t="shared" si="282"/>
        <v>HJO</v>
      </c>
      <c r="F367" s="10">
        <f t="shared" si="283"/>
        <v>16355</v>
      </c>
      <c r="G367" s="10">
        <f t="shared" si="284"/>
        <v>8029</v>
      </c>
      <c r="H367" s="10">
        <f t="shared" si="285"/>
        <v>2.0369909079586499</v>
      </c>
      <c r="I367" s="10">
        <f t="shared" si="286"/>
        <v>3404.9</v>
      </c>
      <c r="J367" s="10">
        <f t="shared" si="287"/>
        <v>4.8</v>
      </c>
      <c r="K367" s="10">
        <f t="shared" si="288"/>
        <v>422</v>
      </c>
      <c r="L367" s="10" t="str">
        <f t="shared" si="289"/>
        <v>Y</v>
      </c>
      <c r="M367" s="10">
        <f t="shared" si="290"/>
        <v>6251</v>
      </c>
      <c r="N367" s="10">
        <f t="shared" si="291"/>
        <v>6126</v>
      </c>
      <c r="O367" s="10">
        <f t="shared" si="292"/>
        <v>5732</v>
      </c>
      <c r="P367" s="10">
        <f t="shared" si="293"/>
        <v>0</v>
      </c>
      <c r="Q367" s="10">
        <f t="shared" si="294"/>
        <v>8029</v>
      </c>
      <c r="R367" s="10" t="str">
        <f t="shared" si="295"/>
        <v>Yes</v>
      </c>
      <c r="S367" s="10" t="str">
        <f t="shared" si="296"/>
        <v>Muswellbrook Waste &amp; Recycling Centre</v>
      </c>
      <c r="T367" s="10" t="str">
        <f t="shared" si="297"/>
        <v>Denman Transfer Station</v>
      </c>
      <c r="U367" s="10">
        <f t="shared" si="298"/>
        <v>0</v>
      </c>
      <c r="V367" s="10">
        <f t="shared" si="299"/>
        <v>0</v>
      </c>
      <c r="W367" s="10">
        <f t="shared" si="300"/>
        <v>0</v>
      </c>
      <c r="X367" s="10">
        <f t="shared" si="301"/>
        <v>0</v>
      </c>
      <c r="Y367" s="10">
        <f t="shared" si="302"/>
        <v>0</v>
      </c>
      <c r="Z367" s="10">
        <f t="shared" si="303"/>
        <v>0</v>
      </c>
      <c r="AA367" s="10">
        <f t="shared" si="304"/>
        <v>0</v>
      </c>
      <c r="AB367" s="10">
        <f t="shared" si="305"/>
        <v>0</v>
      </c>
      <c r="AC367" s="10">
        <f t="shared" si="306"/>
        <v>0</v>
      </c>
      <c r="AD367" s="10">
        <f t="shared" si="307"/>
        <v>0</v>
      </c>
      <c r="AE367" s="10">
        <f t="shared" si="308"/>
        <v>0</v>
      </c>
      <c r="AF367" s="10">
        <f t="shared" si="309"/>
        <v>0</v>
      </c>
      <c r="AG367" s="10">
        <f t="shared" si="310"/>
        <v>0</v>
      </c>
      <c r="AH367" s="10">
        <f t="shared" si="311"/>
        <v>0</v>
      </c>
      <c r="AI367" s="10">
        <f t="shared" si="312"/>
        <v>0</v>
      </c>
      <c r="AJ367" s="10">
        <f t="shared" si="313"/>
        <v>0</v>
      </c>
      <c r="AK367" s="10">
        <f t="shared" si="314"/>
        <v>0</v>
      </c>
      <c r="AL367" s="10">
        <f t="shared" si="315"/>
        <v>0</v>
      </c>
      <c r="AM367" s="10">
        <f t="shared" si="316"/>
        <v>0</v>
      </c>
      <c r="AN367" s="46">
        <f t="shared" si="317"/>
        <v>0</v>
      </c>
      <c r="AO367" s="10">
        <f t="shared" si="318"/>
        <v>0</v>
      </c>
      <c r="AP367" s="10">
        <f t="shared" si="319"/>
        <v>0</v>
      </c>
      <c r="AQ367" s="10">
        <f t="shared" si="320"/>
        <v>0</v>
      </c>
      <c r="AR367" s="10">
        <f t="shared" si="321"/>
        <v>0</v>
      </c>
      <c r="AS367" s="10">
        <f t="shared" si="322"/>
        <v>0</v>
      </c>
      <c r="AT367" s="10">
        <f t="shared" si="323"/>
        <v>0</v>
      </c>
      <c r="AU367" s="10">
        <f t="shared" si="324"/>
        <v>0</v>
      </c>
      <c r="AV367" s="10">
        <f t="shared" si="325"/>
        <v>0</v>
      </c>
      <c r="AW367" s="10">
        <f t="shared" si="326"/>
        <v>0</v>
      </c>
      <c r="AX367" s="10">
        <f t="shared" si="327"/>
        <v>0</v>
      </c>
    </row>
    <row r="368" spans="1:50" x14ac:dyDescent="0.2">
      <c r="A368" s="8">
        <v>15700</v>
      </c>
      <c r="B368" s="89" t="str">
        <f t="shared" si="279"/>
        <v>Nambucca</v>
      </c>
      <c r="C368" s="9" t="str">
        <f t="shared" si="280"/>
        <v>MidWaste</v>
      </c>
      <c r="D368" s="51" t="str">
        <f t="shared" si="281"/>
        <v>R</v>
      </c>
      <c r="E368" s="10">
        <f t="shared" si="282"/>
        <v>0</v>
      </c>
      <c r="F368" s="10">
        <f t="shared" si="283"/>
        <v>19861</v>
      </c>
      <c r="G368" s="10">
        <f t="shared" si="284"/>
        <v>10166</v>
      </c>
      <c r="H368" s="10">
        <f t="shared" si="285"/>
        <v>1.9536690930552822</v>
      </c>
      <c r="I368" s="10">
        <f t="shared" si="286"/>
        <v>1491.3</v>
      </c>
      <c r="J368" s="10">
        <f t="shared" si="287"/>
        <v>13.3</v>
      </c>
      <c r="K368" s="10">
        <f t="shared" si="288"/>
        <v>543</v>
      </c>
      <c r="L368" s="10" t="str">
        <f t="shared" si="289"/>
        <v>Y</v>
      </c>
      <c r="M368" s="10">
        <f t="shared" si="290"/>
        <v>6774</v>
      </c>
      <c r="N368" s="10">
        <f t="shared" si="291"/>
        <v>6774</v>
      </c>
      <c r="O368" s="10">
        <f t="shared" si="292"/>
        <v>0</v>
      </c>
      <c r="P368" s="10">
        <f t="shared" si="293"/>
        <v>6774</v>
      </c>
      <c r="Q368" s="10">
        <f t="shared" si="294"/>
        <v>10166</v>
      </c>
      <c r="R368" s="10" t="str">
        <f t="shared" si="295"/>
        <v>Yes</v>
      </c>
      <c r="S368" s="10" t="str">
        <f t="shared" si="296"/>
        <v>Nambucca Waste Facility</v>
      </c>
      <c r="T368" s="10">
        <f t="shared" si="297"/>
        <v>0</v>
      </c>
      <c r="U368" s="10">
        <f t="shared" si="298"/>
        <v>0</v>
      </c>
      <c r="V368" s="10">
        <f t="shared" si="299"/>
        <v>0</v>
      </c>
      <c r="W368" s="10">
        <f t="shared" si="300"/>
        <v>0</v>
      </c>
      <c r="X368" s="10">
        <f t="shared" si="301"/>
        <v>0</v>
      </c>
      <c r="Y368" s="10">
        <f t="shared" si="302"/>
        <v>0</v>
      </c>
      <c r="Z368" s="10">
        <f t="shared" si="303"/>
        <v>0</v>
      </c>
      <c r="AA368" s="10">
        <f t="shared" si="304"/>
        <v>0</v>
      </c>
      <c r="AB368" s="10">
        <f t="shared" si="305"/>
        <v>0</v>
      </c>
      <c r="AC368" s="10">
        <f t="shared" si="306"/>
        <v>0</v>
      </c>
      <c r="AD368" s="10">
        <f t="shared" si="307"/>
        <v>0</v>
      </c>
      <c r="AE368" s="10">
        <f t="shared" si="308"/>
        <v>0</v>
      </c>
      <c r="AF368" s="10">
        <f t="shared" si="309"/>
        <v>0</v>
      </c>
      <c r="AG368" s="10">
        <f t="shared" si="310"/>
        <v>0</v>
      </c>
      <c r="AH368" s="10">
        <f t="shared" si="311"/>
        <v>0</v>
      </c>
      <c r="AI368" s="10">
        <f t="shared" si="312"/>
        <v>0</v>
      </c>
      <c r="AJ368" s="10">
        <f t="shared" si="313"/>
        <v>0</v>
      </c>
      <c r="AK368" s="10">
        <f t="shared" si="314"/>
        <v>0</v>
      </c>
      <c r="AL368" s="10">
        <f t="shared" si="315"/>
        <v>0</v>
      </c>
      <c r="AM368" s="10">
        <f t="shared" si="316"/>
        <v>0</v>
      </c>
      <c r="AN368" s="46">
        <f t="shared" si="317"/>
        <v>0</v>
      </c>
      <c r="AO368" s="10">
        <f t="shared" si="318"/>
        <v>0</v>
      </c>
      <c r="AP368" s="10">
        <f t="shared" si="319"/>
        <v>0</v>
      </c>
      <c r="AQ368" s="10">
        <f t="shared" si="320"/>
        <v>0</v>
      </c>
      <c r="AR368" s="10">
        <f t="shared" si="321"/>
        <v>0</v>
      </c>
      <c r="AS368" s="10">
        <f t="shared" si="322"/>
        <v>0</v>
      </c>
      <c r="AT368" s="10">
        <f t="shared" si="323"/>
        <v>0</v>
      </c>
      <c r="AU368" s="10">
        <f t="shared" si="324"/>
        <v>0</v>
      </c>
      <c r="AV368" s="10">
        <f t="shared" si="325"/>
        <v>0</v>
      </c>
      <c r="AW368" s="10">
        <f t="shared" si="326"/>
        <v>0</v>
      </c>
      <c r="AX368" s="10">
        <f t="shared" si="327"/>
        <v>0</v>
      </c>
    </row>
    <row r="369" spans="1:50" x14ac:dyDescent="0.2">
      <c r="A369" s="8">
        <v>15750</v>
      </c>
      <c r="B369" s="89" t="str">
        <f t="shared" si="279"/>
        <v>Narrabri</v>
      </c>
      <c r="C369" s="9" t="str">
        <f t="shared" si="280"/>
        <v>NIRW</v>
      </c>
      <c r="D369" s="51" t="str">
        <f t="shared" si="281"/>
        <v>N</v>
      </c>
      <c r="E369" s="10" t="str">
        <f t="shared" si="282"/>
        <v>NEJO</v>
      </c>
      <c r="F369" s="10">
        <f t="shared" si="283"/>
        <v>13049</v>
      </c>
      <c r="G369" s="10">
        <f t="shared" si="284"/>
        <v>6857</v>
      </c>
      <c r="H369" s="10">
        <f t="shared" si="285"/>
        <v>1.9030188128919352</v>
      </c>
      <c r="I369" s="10">
        <f t="shared" si="286"/>
        <v>13015</v>
      </c>
      <c r="J369" s="10">
        <f t="shared" si="287"/>
        <v>1</v>
      </c>
      <c r="K369" s="10">
        <f t="shared" si="288"/>
        <v>330</v>
      </c>
      <c r="L369" s="10" t="str">
        <f t="shared" si="289"/>
        <v>Y</v>
      </c>
      <c r="M369" s="10">
        <f t="shared" si="290"/>
        <v>4362</v>
      </c>
      <c r="N369" s="10">
        <f t="shared" si="291"/>
        <v>4294</v>
      </c>
      <c r="O369" s="10">
        <f t="shared" si="292"/>
        <v>0</v>
      </c>
      <c r="P369" s="10">
        <f t="shared" si="293"/>
        <v>4294</v>
      </c>
      <c r="Q369" s="10">
        <f t="shared" si="294"/>
        <v>6857</v>
      </c>
      <c r="R369" s="10" t="str">
        <f t="shared" si="295"/>
        <v>Yes</v>
      </c>
      <c r="S369" s="10" t="str">
        <f t="shared" si="296"/>
        <v>9 shire transfer stations</v>
      </c>
      <c r="T369" s="10">
        <f t="shared" si="297"/>
        <v>0</v>
      </c>
      <c r="U369" s="10">
        <f t="shared" si="298"/>
        <v>0</v>
      </c>
      <c r="V369" s="10">
        <f t="shared" si="299"/>
        <v>0</v>
      </c>
      <c r="W369" s="10">
        <f t="shared" si="300"/>
        <v>0</v>
      </c>
      <c r="X369" s="10">
        <f t="shared" si="301"/>
        <v>0</v>
      </c>
      <c r="Y369" s="10">
        <f t="shared" si="302"/>
        <v>0</v>
      </c>
      <c r="Z369" s="10">
        <f t="shared" si="303"/>
        <v>0</v>
      </c>
      <c r="AA369" s="10">
        <f t="shared" si="304"/>
        <v>0</v>
      </c>
      <c r="AB369" s="10">
        <f t="shared" si="305"/>
        <v>0</v>
      </c>
      <c r="AC369" s="10">
        <f t="shared" si="306"/>
        <v>0</v>
      </c>
      <c r="AD369" s="10">
        <f t="shared" si="307"/>
        <v>0</v>
      </c>
      <c r="AE369" s="10">
        <f t="shared" si="308"/>
        <v>0</v>
      </c>
      <c r="AF369" s="10">
        <f t="shared" si="309"/>
        <v>0</v>
      </c>
      <c r="AG369" s="10">
        <f t="shared" si="310"/>
        <v>0</v>
      </c>
      <c r="AH369" s="10">
        <f t="shared" si="311"/>
        <v>0</v>
      </c>
      <c r="AI369" s="10">
        <f t="shared" si="312"/>
        <v>0</v>
      </c>
      <c r="AJ369" s="10">
        <f t="shared" si="313"/>
        <v>0</v>
      </c>
      <c r="AK369" s="10">
        <f t="shared" si="314"/>
        <v>0</v>
      </c>
      <c r="AL369" s="10">
        <f t="shared" si="315"/>
        <v>0</v>
      </c>
      <c r="AM369" s="10">
        <f t="shared" si="316"/>
        <v>0</v>
      </c>
      <c r="AN369" s="46">
        <f t="shared" si="317"/>
        <v>0</v>
      </c>
      <c r="AO369" s="10">
        <f t="shared" si="318"/>
        <v>0</v>
      </c>
      <c r="AP369" s="10">
        <f t="shared" si="319"/>
        <v>0</v>
      </c>
      <c r="AQ369" s="10">
        <f t="shared" si="320"/>
        <v>0</v>
      </c>
      <c r="AR369" s="10">
        <f t="shared" si="321"/>
        <v>0</v>
      </c>
      <c r="AS369" s="10">
        <f t="shared" si="322"/>
        <v>0</v>
      </c>
      <c r="AT369" s="10">
        <f t="shared" si="323"/>
        <v>0</v>
      </c>
      <c r="AU369" s="10">
        <f t="shared" si="324"/>
        <v>0</v>
      </c>
      <c r="AV369" s="10">
        <f t="shared" si="325"/>
        <v>0</v>
      </c>
      <c r="AW369" s="10">
        <f t="shared" si="326"/>
        <v>0</v>
      </c>
      <c r="AX369" s="10">
        <f t="shared" si="327"/>
        <v>0</v>
      </c>
    </row>
    <row r="370" spans="1:50" x14ac:dyDescent="0.2">
      <c r="A370" s="8">
        <v>15800</v>
      </c>
      <c r="B370" s="89" t="str">
        <f t="shared" si="279"/>
        <v>Narrandera</v>
      </c>
      <c r="C370" s="9" t="str">
        <f t="shared" si="280"/>
        <v>RAMJO Riverina</v>
      </c>
      <c r="D370" s="51" t="str">
        <f t="shared" si="281"/>
        <v>N</v>
      </c>
      <c r="E370" s="10" t="str">
        <f t="shared" si="282"/>
        <v>RMJO</v>
      </c>
      <c r="F370" s="10">
        <f t="shared" si="283"/>
        <v>5858</v>
      </c>
      <c r="G370" s="10">
        <f t="shared" si="284"/>
        <v>2575</v>
      </c>
      <c r="H370" s="10">
        <f t="shared" si="285"/>
        <v>2.2749514563106796</v>
      </c>
      <c r="I370" s="10">
        <f t="shared" si="286"/>
        <v>4116.3</v>
      </c>
      <c r="J370" s="10">
        <f t="shared" si="287"/>
        <v>1.4</v>
      </c>
      <c r="K370" s="10">
        <f t="shared" si="288"/>
        <v>221.8</v>
      </c>
      <c r="L370" s="10" t="str">
        <f t="shared" si="289"/>
        <v>Y</v>
      </c>
      <c r="M370" s="10">
        <f t="shared" si="290"/>
        <v>2575</v>
      </c>
      <c r="N370" s="10">
        <f t="shared" si="291"/>
        <v>2156</v>
      </c>
      <c r="O370" s="10">
        <f t="shared" si="292"/>
        <v>0</v>
      </c>
      <c r="P370" s="10">
        <f t="shared" si="293"/>
        <v>0</v>
      </c>
      <c r="Q370" s="10">
        <f t="shared" si="294"/>
        <v>2575</v>
      </c>
      <c r="R370" s="10" t="str">
        <f t="shared" si="295"/>
        <v>Yes</v>
      </c>
      <c r="S370" s="10" t="str">
        <f t="shared" si="296"/>
        <v>Narrandera Landfill</v>
      </c>
      <c r="T370" s="10" t="str">
        <f t="shared" si="297"/>
        <v>Barellan Landfill</v>
      </c>
      <c r="U370" s="10">
        <f t="shared" si="298"/>
        <v>0</v>
      </c>
      <c r="V370" s="10">
        <f t="shared" si="299"/>
        <v>0</v>
      </c>
      <c r="W370" s="10">
        <f t="shared" si="300"/>
        <v>0</v>
      </c>
      <c r="X370" s="10">
        <f t="shared" si="301"/>
        <v>0</v>
      </c>
      <c r="Y370" s="10">
        <f t="shared" si="302"/>
        <v>0</v>
      </c>
      <c r="Z370" s="10">
        <f t="shared" si="303"/>
        <v>0</v>
      </c>
      <c r="AA370" s="10">
        <f t="shared" si="304"/>
        <v>0</v>
      </c>
      <c r="AB370" s="10">
        <f t="shared" si="305"/>
        <v>0</v>
      </c>
      <c r="AC370" s="10">
        <f t="shared" si="306"/>
        <v>0</v>
      </c>
      <c r="AD370" s="10">
        <f t="shared" si="307"/>
        <v>0</v>
      </c>
      <c r="AE370" s="10">
        <f t="shared" si="308"/>
        <v>0</v>
      </c>
      <c r="AF370" s="10">
        <f t="shared" si="309"/>
        <v>0</v>
      </c>
      <c r="AG370" s="10">
        <f t="shared" si="310"/>
        <v>0</v>
      </c>
      <c r="AH370" s="10">
        <f t="shared" si="311"/>
        <v>0</v>
      </c>
      <c r="AI370" s="10">
        <f t="shared" si="312"/>
        <v>0</v>
      </c>
      <c r="AJ370" s="10">
        <f t="shared" si="313"/>
        <v>0</v>
      </c>
      <c r="AK370" s="10">
        <f t="shared" si="314"/>
        <v>0</v>
      </c>
      <c r="AL370" s="10">
        <f t="shared" si="315"/>
        <v>0</v>
      </c>
      <c r="AM370" s="10">
        <f t="shared" si="316"/>
        <v>0</v>
      </c>
      <c r="AN370" s="46">
        <f t="shared" si="317"/>
        <v>0</v>
      </c>
      <c r="AO370" s="10">
        <f t="shared" si="318"/>
        <v>0</v>
      </c>
      <c r="AP370" s="10">
        <f t="shared" si="319"/>
        <v>0</v>
      </c>
      <c r="AQ370" s="10">
        <f t="shared" si="320"/>
        <v>0</v>
      </c>
      <c r="AR370" s="10">
        <f t="shared" si="321"/>
        <v>0</v>
      </c>
      <c r="AS370" s="10">
        <f t="shared" si="322"/>
        <v>0</v>
      </c>
      <c r="AT370" s="10">
        <f t="shared" si="323"/>
        <v>0</v>
      </c>
      <c r="AU370" s="10">
        <f t="shared" si="324"/>
        <v>0</v>
      </c>
      <c r="AV370" s="10">
        <f t="shared" si="325"/>
        <v>0</v>
      </c>
      <c r="AW370" s="10">
        <f t="shared" si="326"/>
        <v>0</v>
      </c>
      <c r="AX370" s="10">
        <f t="shared" si="327"/>
        <v>0</v>
      </c>
    </row>
    <row r="371" spans="1:50" x14ac:dyDescent="0.2">
      <c r="A371" s="8">
        <v>15850</v>
      </c>
      <c r="B371" s="89" t="str">
        <f t="shared" si="279"/>
        <v>Narromine</v>
      </c>
      <c r="C371" s="9" t="str">
        <f t="shared" si="280"/>
        <v>NetWaste</v>
      </c>
      <c r="D371" s="51" t="str">
        <f t="shared" si="281"/>
        <v>N</v>
      </c>
      <c r="E371" s="10" t="str">
        <f t="shared" si="282"/>
        <v>OJO</v>
      </c>
      <c r="F371" s="10">
        <f t="shared" si="283"/>
        <v>6460</v>
      </c>
      <c r="G371" s="10">
        <f t="shared" si="284"/>
        <v>3363</v>
      </c>
      <c r="H371" s="10">
        <f t="shared" si="285"/>
        <v>1.9209039548022599</v>
      </c>
      <c r="I371" s="10">
        <f t="shared" si="286"/>
        <v>5261.5</v>
      </c>
      <c r="J371" s="10">
        <f t="shared" si="287"/>
        <v>1.2</v>
      </c>
      <c r="K371" s="10">
        <f t="shared" si="288"/>
        <v>584</v>
      </c>
      <c r="L371" s="10" t="str">
        <f t="shared" si="289"/>
        <v>Y</v>
      </c>
      <c r="M371" s="10">
        <f t="shared" si="290"/>
        <v>2049</v>
      </c>
      <c r="N371" s="10">
        <f t="shared" si="291"/>
        <v>1935</v>
      </c>
      <c r="O371" s="10">
        <f t="shared" si="292"/>
        <v>0</v>
      </c>
      <c r="P371" s="10">
        <f t="shared" si="293"/>
        <v>1935</v>
      </c>
      <c r="Q371" s="10">
        <f t="shared" si="294"/>
        <v>3363</v>
      </c>
      <c r="R371" s="10" t="str">
        <f t="shared" si="295"/>
        <v>No</v>
      </c>
      <c r="S371" s="10">
        <f t="shared" si="296"/>
        <v>0</v>
      </c>
      <c r="T371" s="10">
        <f t="shared" si="297"/>
        <v>0</v>
      </c>
      <c r="U371" s="10">
        <f t="shared" si="298"/>
        <v>0</v>
      </c>
      <c r="V371" s="10">
        <f t="shared" si="299"/>
        <v>0</v>
      </c>
      <c r="W371" s="10">
        <f t="shared" si="300"/>
        <v>0</v>
      </c>
      <c r="X371" s="10">
        <f t="shared" si="301"/>
        <v>0</v>
      </c>
      <c r="Y371" s="10">
        <f t="shared" si="302"/>
        <v>0</v>
      </c>
      <c r="Z371" s="10">
        <f t="shared" si="303"/>
        <v>0</v>
      </c>
      <c r="AA371" s="10">
        <f t="shared" si="304"/>
        <v>0</v>
      </c>
      <c r="AB371" s="10">
        <f t="shared" si="305"/>
        <v>0</v>
      </c>
      <c r="AC371" s="10">
        <f t="shared" si="306"/>
        <v>0</v>
      </c>
      <c r="AD371" s="10">
        <f t="shared" si="307"/>
        <v>0</v>
      </c>
      <c r="AE371" s="10">
        <f t="shared" si="308"/>
        <v>0</v>
      </c>
      <c r="AF371" s="10">
        <f t="shared" si="309"/>
        <v>0</v>
      </c>
      <c r="AG371" s="10">
        <f t="shared" si="310"/>
        <v>0</v>
      </c>
      <c r="AH371" s="10">
        <f t="shared" si="311"/>
        <v>0</v>
      </c>
      <c r="AI371" s="10">
        <f t="shared" si="312"/>
        <v>0</v>
      </c>
      <c r="AJ371" s="10">
        <f t="shared" si="313"/>
        <v>0</v>
      </c>
      <c r="AK371" s="10">
        <f t="shared" si="314"/>
        <v>0</v>
      </c>
      <c r="AL371" s="10">
        <f t="shared" si="315"/>
        <v>0</v>
      </c>
      <c r="AM371" s="10">
        <f t="shared" si="316"/>
        <v>0</v>
      </c>
      <c r="AN371" s="46">
        <f t="shared" si="317"/>
        <v>0</v>
      </c>
      <c r="AO371" s="10">
        <f t="shared" si="318"/>
        <v>0</v>
      </c>
      <c r="AP371" s="10">
        <f t="shared" si="319"/>
        <v>0</v>
      </c>
      <c r="AQ371" s="10">
        <f t="shared" si="320"/>
        <v>0</v>
      </c>
      <c r="AR371" s="10">
        <f t="shared" si="321"/>
        <v>0</v>
      </c>
      <c r="AS371" s="10">
        <f t="shared" si="322"/>
        <v>0</v>
      </c>
      <c r="AT371" s="10">
        <f t="shared" si="323"/>
        <v>0</v>
      </c>
      <c r="AU371" s="10">
        <f t="shared" si="324"/>
        <v>0</v>
      </c>
      <c r="AV371" s="10">
        <f t="shared" si="325"/>
        <v>0</v>
      </c>
      <c r="AW371" s="10">
        <f t="shared" si="326"/>
        <v>0</v>
      </c>
      <c r="AX371" s="10">
        <f t="shared" si="327"/>
        <v>0</v>
      </c>
    </row>
    <row r="372" spans="1:50" x14ac:dyDescent="0.2">
      <c r="A372" s="8">
        <v>16100</v>
      </c>
      <c r="B372" s="89" t="str">
        <f t="shared" si="279"/>
        <v>Oberon</v>
      </c>
      <c r="C372" s="9" t="str">
        <f t="shared" si="280"/>
        <v>NetWaste</v>
      </c>
      <c r="D372" s="51" t="str">
        <f t="shared" si="281"/>
        <v>N</v>
      </c>
      <c r="E372" s="10" t="str">
        <f t="shared" si="282"/>
        <v>CNJO</v>
      </c>
      <c r="F372" s="10">
        <f t="shared" si="283"/>
        <v>5419</v>
      </c>
      <c r="G372" s="10">
        <f t="shared" si="284"/>
        <v>3931</v>
      </c>
      <c r="H372" s="10">
        <f t="shared" si="285"/>
        <v>1.3785296362248791</v>
      </c>
      <c r="I372" s="10">
        <f t="shared" si="286"/>
        <v>3625</v>
      </c>
      <c r="J372" s="10">
        <f t="shared" si="287"/>
        <v>1.5</v>
      </c>
      <c r="K372" s="10">
        <f t="shared" si="288"/>
        <v>213</v>
      </c>
      <c r="L372" s="10" t="str">
        <f t="shared" si="289"/>
        <v>Y</v>
      </c>
      <c r="M372" s="10">
        <f t="shared" si="290"/>
        <v>1498</v>
      </c>
      <c r="N372" s="10">
        <f t="shared" si="291"/>
        <v>0</v>
      </c>
      <c r="O372" s="10">
        <f t="shared" si="292"/>
        <v>0</v>
      </c>
      <c r="P372" s="10">
        <f t="shared" si="293"/>
        <v>0</v>
      </c>
      <c r="Q372" s="10">
        <f t="shared" si="294"/>
        <v>3931</v>
      </c>
      <c r="R372" s="10" t="str">
        <f t="shared" si="295"/>
        <v>Yes</v>
      </c>
      <c r="S372" s="10" t="str">
        <f t="shared" si="296"/>
        <v>Oberon</v>
      </c>
      <c r="T372" s="10" t="str">
        <f t="shared" si="297"/>
        <v>Burraga</v>
      </c>
      <c r="U372" s="10" t="str">
        <f t="shared" si="298"/>
        <v>Black Springs</v>
      </c>
      <c r="V372" s="10">
        <f t="shared" si="299"/>
        <v>0</v>
      </c>
      <c r="W372" s="10">
        <f t="shared" si="300"/>
        <v>0</v>
      </c>
      <c r="X372" s="10">
        <f t="shared" si="301"/>
        <v>0</v>
      </c>
      <c r="Y372" s="10">
        <f t="shared" si="302"/>
        <v>0</v>
      </c>
      <c r="Z372" s="10">
        <f t="shared" si="303"/>
        <v>0</v>
      </c>
      <c r="AA372" s="10">
        <f t="shared" si="304"/>
        <v>0</v>
      </c>
      <c r="AB372" s="10">
        <f t="shared" si="305"/>
        <v>0</v>
      </c>
      <c r="AC372" s="10">
        <f t="shared" si="306"/>
        <v>0</v>
      </c>
      <c r="AD372" s="10">
        <f t="shared" si="307"/>
        <v>0</v>
      </c>
      <c r="AE372" s="10">
        <f t="shared" si="308"/>
        <v>0</v>
      </c>
      <c r="AF372" s="10">
        <f t="shared" si="309"/>
        <v>0</v>
      </c>
      <c r="AG372" s="10">
        <f t="shared" si="310"/>
        <v>0</v>
      </c>
      <c r="AH372" s="10">
        <f t="shared" si="311"/>
        <v>0</v>
      </c>
      <c r="AI372" s="10">
        <f t="shared" si="312"/>
        <v>0</v>
      </c>
      <c r="AJ372" s="10">
        <f t="shared" si="313"/>
        <v>0</v>
      </c>
      <c r="AK372" s="10">
        <f t="shared" si="314"/>
        <v>0</v>
      </c>
      <c r="AL372" s="10">
        <f t="shared" si="315"/>
        <v>0</v>
      </c>
      <c r="AM372" s="10">
        <f t="shared" si="316"/>
        <v>0</v>
      </c>
      <c r="AN372" s="46">
        <f t="shared" si="317"/>
        <v>0</v>
      </c>
      <c r="AO372" s="10">
        <f t="shared" si="318"/>
        <v>0</v>
      </c>
      <c r="AP372" s="10">
        <f t="shared" si="319"/>
        <v>0</v>
      </c>
      <c r="AQ372" s="10">
        <f t="shared" si="320"/>
        <v>0</v>
      </c>
      <c r="AR372" s="10">
        <f t="shared" si="321"/>
        <v>0</v>
      </c>
      <c r="AS372" s="10">
        <f t="shared" si="322"/>
        <v>0</v>
      </c>
      <c r="AT372" s="10">
        <f t="shared" si="323"/>
        <v>0</v>
      </c>
      <c r="AU372" s="10">
        <f t="shared" si="324"/>
        <v>0</v>
      </c>
      <c r="AV372" s="10">
        <f t="shared" si="325"/>
        <v>0</v>
      </c>
      <c r="AW372" s="10">
        <f t="shared" si="326"/>
        <v>0</v>
      </c>
      <c r="AX372" s="10">
        <f t="shared" si="327"/>
        <v>0</v>
      </c>
    </row>
    <row r="373" spans="1:50" x14ac:dyDescent="0.2">
      <c r="A373" s="8">
        <v>16150</v>
      </c>
      <c r="B373" s="89" t="str">
        <f t="shared" si="279"/>
        <v>Orange</v>
      </c>
      <c r="C373" s="9" t="str">
        <f t="shared" si="280"/>
        <v>NetWaste</v>
      </c>
      <c r="D373" s="51" t="str">
        <f t="shared" si="281"/>
        <v>N</v>
      </c>
      <c r="E373" s="10" t="str">
        <f t="shared" si="282"/>
        <v>CNJO</v>
      </c>
      <c r="F373" s="10">
        <f t="shared" si="283"/>
        <v>42503</v>
      </c>
      <c r="G373" s="10">
        <f t="shared" si="284"/>
        <v>19213</v>
      </c>
      <c r="H373" s="10">
        <f t="shared" si="285"/>
        <v>2.2122000728673292</v>
      </c>
      <c r="I373" s="10">
        <f t="shared" si="286"/>
        <v>284.2</v>
      </c>
      <c r="J373" s="10">
        <f t="shared" si="287"/>
        <v>149.5</v>
      </c>
      <c r="K373" s="10">
        <f t="shared" si="288"/>
        <v>445.35</v>
      </c>
      <c r="L373" s="10" t="str">
        <f t="shared" si="289"/>
        <v>Y</v>
      </c>
      <c r="M373" s="10">
        <f t="shared" si="290"/>
        <v>16745</v>
      </c>
      <c r="N373" s="10">
        <f t="shared" si="291"/>
        <v>16739</v>
      </c>
      <c r="O373" s="10">
        <f t="shared" si="292"/>
        <v>0</v>
      </c>
      <c r="P373" s="10">
        <f t="shared" si="293"/>
        <v>17061</v>
      </c>
      <c r="Q373" s="10">
        <f t="shared" si="294"/>
        <v>19213</v>
      </c>
      <c r="R373" s="10" t="str">
        <f t="shared" si="295"/>
        <v>Yes</v>
      </c>
      <c r="S373" s="10" t="str">
        <f t="shared" si="296"/>
        <v>RRC Bins - Ophir Road Resource Recovery Centre, 261 Ophir Road Orange</v>
      </c>
      <c r="T373" s="10" t="str">
        <f t="shared" si="297"/>
        <v>CRC - Ophir Road Resource Recovery Centre, 261 Ophir Road Orange</v>
      </c>
      <c r="U373" s="10">
        <f t="shared" si="298"/>
        <v>0</v>
      </c>
      <c r="V373" s="10">
        <f t="shared" si="299"/>
        <v>0</v>
      </c>
      <c r="W373" s="10">
        <f t="shared" si="300"/>
        <v>0</v>
      </c>
      <c r="X373" s="10">
        <f t="shared" si="301"/>
        <v>0</v>
      </c>
      <c r="Y373" s="10">
        <f t="shared" si="302"/>
        <v>0</v>
      </c>
      <c r="Z373" s="10">
        <f t="shared" si="303"/>
        <v>0</v>
      </c>
      <c r="AA373" s="10">
        <f t="shared" si="304"/>
        <v>0</v>
      </c>
      <c r="AB373" s="10">
        <f t="shared" si="305"/>
        <v>0</v>
      </c>
      <c r="AC373" s="10">
        <f t="shared" si="306"/>
        <v>0</v>
      </c>
      <c r="AD373" s="10">
        <f t="shared" si="307"/>
        <v>0</v>
      </c>
      <c r="AE373" s="10">
        <f t="shared" si="308"/>
        <v>0</v>
      </c>
      <c r="AF373" s="10">
        <f t="shared" si="309"/>
        <v>0</v>
      </c>
      <c r="AG373" s="10">
        <f t="shared" si="310"/>
        <v>0</v>
      </c>
      <c r="AH373" s="10">
        <f t="shared" si="311"/>
        <v>0</v>
      </c>
      <c r="AI373" s="10">
        <f t="shared" si="312"/>
        <v>0</v>
      </c>
      <c r="AJ373" s="10">
        <f t="shared" si="313"/>
        <v>0</v>
      </c>
      <c r="AK373" s="10">
        <f t="shared" si="314"/>
        <v>0</v>
      </c>
      <c r="AL373" s="10">
        <f t="shared" si="315"/>
        <v>0</v>
      </c>
      <c r="AM373" s="10">
        <f t="shared" si="316"/>
        <v>0</v>
      </c>
      <c r="AN373" s="46">
        <f t="shared" si="317"/>
        <v>0</v>
      </c>
      <c r="AO373" s="10">
        <f t="shared" si="318"/>
        <v>0</v>
      </c>
      <c r="AP373" s="10">
        <f t="shared" si="319"/>
        <v>0</v>
      </c>
      <c r="AQ373" s="10">
        <f t="shared" si="320"/>
        <v>0</v>
      </c>
      <c r="AR373" s="10">
        <f t="shared" si="321"/>
        <v>0</v>
      </c>
      <c r="AS373" s="10">
        <f t="shared" si="322"/>
        <v>0</v>
      </c>
      <c r="AT373" s="10">
        <f t="shared" si="323"/>
        <v>0</v>
      </c>
      <c r="AU373" s="10">
        <f t="shared" si="324"/>
        <v>0</v>
      </c>
      <c r="AV373" s="10">
        <f t="shared" si="325"/>
        <v>0</v>
      </c>
      <c r="AW373" s="10">
        <f t="shared" si="326"/>
        <v>0</v>
      </c>
      <c r="AX373" s="10">
        <f t="shared" si="327"/>
        <v>0</v>
      </c>
    </row>
    <row r="374" spans="1:50" x14ac:dyDescent="0.2">
      <c r="A374" s="8">
        <v>16200</v>
      </c>
      <c r="B374" s="89" t="str">
        <f t="shared" si="279"/>
        <v>Parkes</v>
      </c>
      <c r="C374" s="9" t="str">
        <f t="shared" si="280"/>
        <v>NetWaste</v>
      </c>
      <c r="D374" s="51" t="str">
        <f t="shared" si="281"/>
        <v>N</v>
      </c>
      <c r="E374" s="10" t="str">
        <f t="shared" si="282"/>
        <v>CNJO</v>
      </c>
      <c r="F374" s="10">
        <f t="shared" si="283"/>
        <v>14728</v>
      </c>
      <c r="G374" s="10">
        <f t="shared" si="284"/>
        <v>8183</v>
      </c>
      <c r="H374" s="10">
        <f t="shared" si="285"/>
        <v>1.7998289136013688</v>
      </c>
      <c r="I374" s="10">
        <f t="shared" si="286"/>
        <v>5957.6</v>
      </c>
      <c r="J374" s="10">
        <f t="shared" si="287"/>
        <v>2.5</v>
      </c>
      <c r="K374" s="10">
        <f t="shared" si="288"/>
        <v>431</v>
      </c>
      <c r="L374" s="10" t="str">
        <f t="shared" si="289"/>
        <v>Y</v>
      </c>
      <c r="M374" s="10">
        <f t="shared" si="290"/>
        <v>5335</v>
      </c>
      <c r="N374" s="10">
        <f t="shared" si="291"/>
        <v>5209</v>
      </c>
      <c r="O374" s="10">
        <f t="shared" si="292"/>
        <v>0</v>
      </c>
      <c r="P374" s="10">
        <f t="shared" si="293"/>
        <v>5209</v>
      </c>
      <c r="Q374" s="10">
        <f t="shared" si="294"/>
        <v>8183</v>
      </c>
      <c r="R374" s="10" t="str">
        <f t="shared" si="295"/>
        <v>Yes</v>
      </c>
      <c r="S374" s="10" t="str">
        <f t="shared" si="296"/>
        <v>Parkes Waste Facility, 104 Brolgan Rd Parkes 2870</v>
      </c>
      <c r="T374" s="10" t="str">
        <f t="shared" si="297"/>
        <v>Peak Hill Transfer Station, Rouse Rd Peak Hill 2869</v>
      </c>
      <c r="U374" s="10" t="str">
        <f t="shared" si="298"/>
        <v>Alectown Landfill</v>
      </c>
      <c r="V374" s="10" t="str">
        <f t="shared" si="299"/>
        <v>Bogan Gate Landfill</v>
      </c>
      <c r="W374" s="10" t="str">
        <f t="shared" si="300"/>
        <v>Gunningbland Landfill</v>
      </c>
      <c r="X374" s="10" t="str">
        <f t="shared" si="301"/>
        <v>Trundle Landfill</v>
      </c>
      <c r="Y374" s="10" t="str">
        <f t="shared" si="302"/>
        <v>Tullamore Landfill</v>
      </c>
      <c r="Z374" s="10">
        <f t="shared" si="303"/>
        <v>0</v>
      </c>
      <c r="AA374" s="10">
        <f t="shared" si="304"/>
        <v>0</v>
      </c>
      <c r="AB374" s="10">
        <f t="shared" si="305"/>
        <v>0</v>
      </c>
      <c r="AC374" s="10">
        <f t="shared" si="306"/>
        <v>0</v>
      </c>
      <c r="AD374" s="10">
        <f t="shared" si="307"/>
        <v>0</v>
      </c>
      <c r="AE374" s="10">
        <f t="shared" si="308"/>
        <v>0</v>
      </c>
      <c r="AF374" s="10">
        <f t="shared" si="309"/>
        <v>0</v>
      </c>
      <c r="AG374" s="10">
        <f t="shared" si="310"/>
        <v>0</v>
      </c>
      <c r="AH374" s="10">
        <f t="shared" si="311"/>
        <v>0</v>
      </c>
      <c r="AI374" s="10">
        <f t="shared" si="312"/>
        <v>0</v>
      </c>
      <c r="AJ374" s="10">
        <f t="shared" si="313"/>
        <v>0</v>
      </c>
      <c r="AK374" s="10">
        <f t="shared" si="314"/>
        <v>0</v>
      </c>
      <c r="AL374" s="10">
        <f t="shared" si="315"/>
        <v>0</v>
      </c>
      <c r="AM374" s="10">
        <f t="shared" si="316"/>
        <v>0</v>
      </c>
      <c r="AN374" s="46">
        <f t="shared" si="317"/>
        <v>0</v>
      </c>
      <c r="AO374" s="10">
        <f t="shared" si="318"/>
        <v>0</v>
      </c>
      <c r="AP374" s="10">
        <f t="shared" si="319"/>
        <v>0</v>
      </c>
      <c r="AQ374" s="10">
        <f t="shared" si="320"/>
        <v>0</v>
      </c>
      <c r="AR374" s="10">
        <f t="shared" si="321"/>
        <v>0</v>
      </c>
      <c r="AS374" s="10">
        <f t="shared" si="322"/>
        <v>0</v>
      </c>
      <c r="AT374" s="10">
        <f t="shared" si="323"/>
        <v>0</v>
      </c>
      <c r="AU374" s="10">
        <f t="shared" si="324"/>
        <v>0</v>
      </c>
      <c r="AV374" s="10">
        <f t="shared" si="325"/>
        <v>0</v>
      </c>
      <c r="AW374" s="10">
        <f t="shared" si="326"/>
        <v>0</v>
      </c>
      <c r="AX374" s="10">
        <f t="shared" si="327"/>
        <v>0</v>
      </c>
    </row>
    <row r="375" spans="1:50" x14ac:dyDescent="0.2">
      <c r="A375" s="8">
        <v>16380</v>
      </c>
      <c r="B375" s="89" t="str">
        <f t="shared" ref="B375:B396" si="328">VLOOKUP($A375,$A$5:$K$132,2,FALSE)</f>
        <v>Port Macquarie-Hastings</v>
      </c>
      <c r="C375" s="9" t="str">
        <f t="shared" ref="C375:C396" si="329">VLOOKUP($A375,$A$5:$K$133,3,FALSE)</f>
        <v>MidWaste</v>
      </c>
      <c r="D375" s="51" t="str">
        <f t="shared" ref="D375:D396" si="330">VLOOKUP($A375,$A$5:$K$133,4,FALSE)</f>
        <v>R</v>
      </c>
      <c r="E375" s="10" t="str">
        <f t="shared" ref="E375:E396" si="331">VLOOKUP($A375,$A$5:$AX$132,5,FALSE)</f>
        <v>MNCJO</v>
      </c>
      <c r="F375" s="10">
        <f t="shared" ref="F375:F396" si="332">VLOOKUP($A375,$A$5:$AX$132,6,FALSE)</f>
        <v>85952</v>
      </c>
      <c r="G375" s="10">
        <f t="shared" ref="G375:G396" si="333">VLOOKUP($A375,$A$5:$AX$132,7,FALSE)</f>
        <v>38101</v>
      </c>
      <c r="H375" s="10">
        <f t="shared" ref="H375:H396" si="334">VLOOKUP($A375,$A$5:$AX$132,8,FALSE)</f>
        <v>2.2558987953072096</v>
      </c>
      <c r="I375" s="10">
        <f t="shared" ref="I375:I396" si="335">VLOOKUP($A375,$A$5:$AX$132,9,FALSE)</f>
        <v>3682.4</v>
      </c>
      <c r="J375" s="10">
        <f t="shared" ref="J375:J396" si="336">VLOOKUP($A375,$A$5:$AX$132,10,FALSE)</f>
        <v>23.3</v>
      </c>
      <c r="K375" s="10">
        <f t="shared" ref="K375:K396" si="337">VLOOKUP($A375,$A$5:$AX$132,11,FALSE)</f>
        <v>488</v>
      </c>
      <c r="L375" s="10" t="str">
        <f t="shared" ref="L375:L396" si="338">VLOOKUP($A375,$A$4:$AX$132,12,FALSE)</f>
        <v>Y</v>
      </c>
      <c r="M375" s="10">
        <f t="shared" ref="M375:M396" si="339">VLOOKUP($A375,$A$4:$AX$132,13,FALSE)</f>
        <v>30086</v>
      </c>
      <c r="N375" s="10">
        <f t="shared" ref="N375:N396" si="340">VLOOKUP($A375,$A$4:$AX$132,14,FALSE)</f>
        <v>32352</v>
      </c>
      <c r="O375" s="10">
        <f t="shared" ref="O375:O396" si="341">VLOOKUP($A375,$A$4:$AX$132,15,FALSE)</f>
        <v>0</v>
      </c>
      <c r="P375" s="10">
        <f t="shared" ref="P375:P396" si="342">VLOOKUP($A375,$A$4:$AX$132,16,FALSE)</f>
        <v>29166</v>
      </c>
      <c r="Q375" s="10">
        <f t="shared" ref="Q375:Q396" si="343">VLOOKUP($A375,$A$4:$AX$132,17,FALSE)</f>
        <v>38101</v>
      </c>
      <c r="R375" s="10" t="str">
        <f t="shared" ref="R375:R396" si="344">VLOOKUP($A375,$A$4:$AX$132,18,FALSE)</f>
        <v>Yes</v>
      </c>
      <c r="S375" s="10" t="str">
        <f t="shared" ref="S375:S396" si="345">VLOOKUP($A375,$A$4:$AX$132,19,FALSE)</f>
        <v>Cairncross Waste Facility Transfer Area</v>
      </c>
      <c r="T375" s="10" t="str">
        <f t="shared" ref="T375:T396" si="346">VLOOKUP($A375,$A$4:$AX$132,20,FALSE)</f>
        <v>Wauchope Transfer Station</v>
      </c>
      <c r="U375" s="10" t="str">
        <f t="shared" ref="U375:U396" si="347">VLOOKUP($A375,$A$4:$AX$132,21,FALSE)</f>
        <v>Kew Transfer Station</v>
      </c>
      <c r="V375" s="10" t="str">
        <f t="shared" ref="V375:V396" si="348">VLOOKUP($A375,$A$4:$AX$132,22,FALSE)</f>
        <v>Port Macquarie Transfer Station</v>
      </c>
      <c r="W375" s="10" t="str">
        <f t="shared" ref="W375:W396" si="349">VLOOKUP($A375,$A$4:$AX$132,23,FALSE)</f>
        <v>Comboyne Transfer Station</v>
      </c>
      <c r="X375" s="10">
        <f t="shared" ref="X375:X396" si="350">VLOOKUP($A375,$A$4:$AX$132,24,FALSE)</f>
        <v>0</v>
      </c>
      <c r="Y375" s="10">
        <f t="shared" ref="Y375:Y396" si="351">VLOOKUP($A375,$A$4:$AX$132,25,FALSE)</f>
        <v>0</v>
      </c>
      <c r="Z375" s="10">
        <f t="shared" ref="Z375:Z396" si="352">VLOOKUP($A375,$A$4:$AX$132,26,FALSE)</f>
        <v>0</v>
      </c>
      <c r="AA375" s="10">
        <f t="shared" ref="AA375:AA396" si="353">VLOOKUP($A375,$A$4:$AX$132,27,FALSE)</f>
        <v>0</v>
      </c>
      <c r="AB375" s="10">
        <f t="shared" ref="AB375:AB396" si="354">VLOOKUP($A375,$A$4:$AX$132,28,FALSE)</f>
        <v>0</v>
      </c>
      <c r="AC375" s="10">
        <f t="shared" ref="AC375:AC396" si="355">VLOOKUP($A375,$A$4:$AX$132,29,FALSE)</f>
        <v>0</v>
      </c>
      <c r="AD375" s="10">
        <f t="shared" ref="AD375:AD396" si="356">VLOOKUP($A375,$A$4:$AX$132,30,FALSE)</f>
        <v>0</v>
      </c>
      <c r="AE375" s="10">
        <f t="shared" ref="AE375:AE396" si="357">VLOOKUP($A375,$A$4:$AX$132,31,FALSE)</f>
        <v>0</v>
      </c>
      <c r="AF375" s="10">
        <f t="shared" ref="AF375:AF396" si="358">VLOOKUP($A375,$A$4:$AX$132,32,FALSE)</f>
        <v>0</v>
      </c>
      <c r="AG375" s="10">
        <f t="shared" ref="AG375:AG396" si="359">VLOOKUP($A375,$A$4:$AX$132,33,FALSE)</f>
        <v>0</v>
      </c>
      <c r="AH375" s="10">
        <f t="shared" ref="AH375:AH396" si="360">VLOOKUP($A375,$A$4:$AX$132,34,FALSE)</f>
        <v>0</v>
      </c>
      <c r="AI375" s="10">
        <f t="shared" ref="AI375:AI396" si="361">VLOOKUP($A375,$A$4:$AX$132,35,FALSE)</f>
        <v>0</v>
      </c>
      <c r="AJ375" s="10">
        <f t="shared" ref="AJ375:AJ396" si="362">VLOOKUP($A375,$A$4:$AX$132,36,FALSE)</f>
        <v>0</v>
      </c>
      <c r="AK375" s="10">
        <f t="shared" ref="AK375:AK396" si="363">VLOOKUP($A375,$A$4:$AX$132,37,FALSE)</f>
        <v>0</v>
      </c>
      <c r="AL375" s="10">
        <f t="shared" ref="AL375:AL396" si="364">VLOOKUP($A375,$A$4:$AX$132,38,FALSE)</f>
        <v>0</v>
      </c>
      <c r="AM375" s="10">
        <f t="shared" ref="AM375:AM396" si="365">VLOOKUP($A375,$A$4:$AX$132,39,FALSE)</f>
        <v>0</v>
      </c>
      <c r="AN375" s="46">
        <f t="shared" ref="AN375:AN396" si="366">VLOOKUP($A375,$A$4:$AX$132,40,FALSE)</f>
        <v>0</v>
      </c>
      <c r="AO375" s="10">
        <f t="shared" ref="AO375:AO396" si="367">VLOOKUP($A375,$A$4:$AX$132,41,FALSE)</f>
        <v>0</v>
      </c>
      <c r="AP375" s="10">
        <f t="shared" ref="AP375:AP396" si="368">VLOOKUP($A375,$A$4:$AX$132,42,FALSE)</f>
        <v>0</v>
      </c>
      <c r="AQ375" s="10">
        <f t="shared" ref="AQ375:AQ396" si="369">VLOOKUP($A375,$A$4:$AX$132,43,FALSE)</f>
        <v>0</v>
      </c>
      <c r="AR375" s="10">
        <f t="shared" ref="AR375:AR396" si="370">VLOOKUP($A375,$A$4:$AX$132,44,FALSE)</f>
        <v>0</v>
      </c>
      <c r="AS375" s="10">
        <f t="shared" ref="AS375:AS396" si="371">VLOOKUP($A375,$A$4:$AX$132,45,FALSE)</f>
        <v>0</v>
      </c>
      <c r="AT375" s="10">
        <f t="shared" ref="AT375:AT396" si="372">VLOOKUP($A375,$A$4:$AX$132,46,FALSE)</f>
        <v>0</v>
      </c>
      <c r="AU375" s="10">
        <f t="shared" ref="AU375:AU396" si="373">VLOOKUP($A375,$A$4:$AX$132,47,FALSE)</f>
        <v>0</v>
      </c>
      <c r="AV375" s="10">
        <f t="shared" ref="AV375:AV396" si="374">VLOOKUP($A375,$A$4:$AX$132,48,FALSE)</f>
        <v>0</v>
      </c>
      <c r="AW375" s="10">
        <f t="shared" ref="AW375:AW396" si="375">VLOOKUP($A375,$A$4:$AX$132,49,FALSE)</f>
        <v>0</v>
      </c>
      <c r="AX375" s="10">
        <f t="shared" ref="AX375:AX396" si="376">VLOOKUP($A375,$A$4:$AX$132,50,FALSE)</f>
        <v>0</v>
      </c>
    </row>
    <row r="376" spans="1:50" x14ac:dyDescent="0.2">
      <c r="A376" s="8">
        <v>16490</v>
      </c>
      <c r="B376" s="89" t="str">
        <f t="shared" si="328"/>
        <v>Queanbeyan-Palerang Regional</v>
      </c>
      <c r="C376" s="9" t="str">
        <f t="shared" si="329"/>
        <v>CRJO</v>
      </c>
      <c r="D376" s="51" t="str">
        <f t="shared" si="330"/>
        <v>N</v>
      </c>
      <c r="E376" s="10" t="str">
        <f t="shared" si="331"/>
        <v>CRJO</v>
      </c>
      <c r="F376" s="10">
        <f t="shared" si="332"/>
        <v>62239</v>
      </c>
      <c r="G376" s="10">
        <f t="shared" si="333"/>
        <v>22370</v>
      </c>
      <c r="H376" s="10">
        <f t="shared" si="334"/>
        <v>2.7822530174340634</v>
      </c>
      <c r="I376" s="10">
        <f t="shared" si="335"/>
        <v>5318.9</v>
      </c>
      <c r="J376" s="10">
        <f t="shared" si="336"/>
        <v>11.7</v>
      </c>
      <c r="K376" s="10">
        <f t="shared" si="337"/>
        <v>337</v>
      </c>
      <c r="L376" s="10" t="str">
        <f t="shared" si="338"/>
        <v>Y</v>
      </c>
      <c r="M376" s="10">
        <f t="shared" si="339"/>
        <v>20751</v>
      </c>
      <c r="N376" s="10">
        <f t="shared" si="340"/>
        <v>21266</v>
      </c>
      <c r="O376" s="10">
        <f t="shared" si="341"/>
        <v>14342</v>
      </c>
      <c r="P376" s="10">
        <f t="shared" si="342"/>
        <v>2290</v>
      </c>
      <c r="Q376" s="10">
        <f t="shared" si="343"/>
        <v>22370</v>
      </c>
      <c r="R376" s="10" t="str">
        <f t="shared" si="344"/>
        <v>Yes</v>
      </c>
      <c r="S376" s="10" t="str">
        <f t="shared" si="345"/>
        <v>Bungendore Waste Transfer Station - Tarago Road Bungendore</v>
      </c>
      <c r="T376" s="10" t="str">
        <f t="shared" si="346"/>
        <v>Braidwood Waste Transfer Station - Bombay Road Braidwood</v>
      </c>
      <c r="U376" s="10" t="str">
        <f t="shared" si="347"/>
        <v>Bywong Transfer Station - Macs Reef Road</v>
      </c>
      <c r="V376" s="10" t="str">
        <f t="shared" si="348"/>
        <v>Captains Flat - Captains Flat Rd</v>
      </c>
      <c r="W376" s="10" t="str">
        <f t="shared" si="349"/>
        <v>Nerriga - Endrick River Road</v>
      </c>
      <c r="X376" s="10" t="str">
        <f t="shared" si="350"/>
        <v>Waste Minimisation Centre - Lorn Road Queanbeyan</v>
      </c>
      <c r="Y376" s="10">
        <f t="shared" si="351"/>
        <v>0</v>
      </c>
      <c r="Z376" s="10">
        <f t="shared" si="352"/>
        <v>0</v>
      </c>
      <c r="AA376" s="10">
        <f t="shared" si="353"/>
        <v>0</v>
      </c>
      <c r="AB376" s="10">
        <f t="shared" si="354"/>
        <v>0</v>
      </c>
      <c r="AC376" s="10">
        <f t="shared" si="355"/>
        <v>0</v>
      </c>
      <c r="AD376" s="10">
        <f t="shared" si="356"/>
        <v>0</v>
      </c>
      <c r="AE376" s="10">
        <f t="shared" si="357"/>
        <v>0</v>
      </c>
      <c r="AF376" s="10">
        <f t="shared" si="358"/>
        <v>0</v>
      </c>
      <c r="AG376" s="10">
        <f t="shared" si="359"/>
        <v>0</v>
      </c>
      <c r="AH376" s="10">
        <f t="shared" si="360"/>
        <v>0</v>
      </c>
      <c r="AI376" s="10">
        <f t="shared" si="361"/>
        <v>0</v>
      </c>
      <c r="AJ376" s="10">
        <f t="shared" si="362"/>
        <v>0</v>
      </c>
      <c r="AK376" s="10">
        <f t="shared" si="363"/>
        <v>0</v>
      </c>
      <c r="AL376" s="10">
        <f t="shared" si="364"/>
        <v>0</v>
      </c>
      <c r="AM376" s="10">
        <f t="shared" si="365"/>
        <v>0</v>
      </c>
      <c r="AN376" s="46">
        <f t="shared" si="366"/>
        <v>0</v>
      </c>
      <c r="AO376" s="10">
        <f t="shared" si="367"/>
        <v>0</v>
      </c>
      <c r="AP376" s="10">
        <f t="shared" si="368"/>
        <v>0</v>
      </c>
      <c r="AQ376" s="10">
        <f t="shared" si="369"/>
        <v>0</v>
      </c>
      <c r="AR376" s="10">
        <f t="shared" si="370"/>
        <v>0</v>
      </c>
      <c r="AS376" s="10">
        <f t="shared" si="371"/>
        <v>0</v>
      </c>
      <c r="AT376" s="10">
        <f t="shared" si="372"/>
        <v>0</v>
      </c>
      <c r="AU376" s="10">
        <f t="shared" si="373"/>
        <v>0</v>
      </c>
      <c r="AV376" s="10">
        <f t="shared" si="374"/>
        <v>0</v>
      </c>
      <c r="AW376" s="10">
        <f t="shared" si="375"/>
        <v>0</v>
      </c>
      <c r="AX376" s="10">
        <f t="shared" si="376"/>
        <v>0</v>
      </c>
    </row>
    <row r="377" spans="1:50" x14ac:dyDescent="0.2">
      <c r="A377" s="8">
        <v>16610</v>
      </c>
      <c r="B377" s="89" t="str">
        <f t="shared" si="328"/>
        <v>Richmond Valley</v>
      </c>
      <c r="C377" s="9" t="str">
        <f t="shared" si="329"/>
        <v>NEWF</v>
      </c>
      <c r="D377" s="51" t="str">
        <f t="shared" si="330"/>
        <v>R</v>
      </c>
      <c r="E377" s="10" t="str">
        <f t="shared" si="331"/>
        <v>NRJO</v>
      </c>
      <c r="F377" s="10">
        <f t="shared" si="332"/>
        <v>23490</v>
      </c>
      <c r="G377" s="10">
        <f t="shared" si="333"/>
        <v>10015</v>
      </c>
      <c r="H377" s="10">
        <f t="shared" si="334"/>
        <v>2.3454817773339989</v>
      </c>
      <c r="I377" s="10">
        <f t="shared" si="335"/>
        <v>3047.4</v>
      </c>
      <c r="J377" s="10">
        <f t="shared" si="336"/>
        <v>7.7</v>
      </c>
      <c r="K377" s="10">
        <f t="shared" si="337"/>
        <v>593</v>
      </c>
      <c r="L377" s="10" t="str">
        <f t="shared" si="338"/>
        <v>Y</v>
      </c>
      <c r="M377" s="10">
        <f t="shared" si="339"/>
        <v>7165</v>
      </c>
      <c r="N377" s="10">
        <f t="shared" si="340"/>
        <v>7165</v>
      </c>
      <c r="O377" s="10">
        <f t="shared" si="341"/>
        <v>0</v>
      </c>
      <c r="P377" s="10">
        <f t="shared" si="342"/>
        <v>7165</v>
      </c>
      <c r="Q377" s="10">
        <f t="shared" si="343"/>
        <v>0</v>
      </c>
      <c r="R377" s="10" t="str">
        <f t="shared" si="344"/>
        <v>Yes</v>
      </c>
      <c r="S377" s="10" t="str">
        <f t="shared" si="345"/>
        <v>Nammoona Waste &amp; Resource Recovery Facility 55 Dargaville Drive Casino NSW 2470</v>
      </c>
      <c r="T377" s="10" t="str">
        <f t="shared" si="346"/>
        <v>Evans Head Transfer Station 972 Broadwater Evans Head Road Evans Head NSW 2473</v>
      </c>
      <c r="U377" s="10" t="str">
        <f t="shared" si="347"/>
        <v xml:space="preserve">Rappville Transfer Station Carwong Rd Rappville NSW </v>
      </c>
      <c r="V377" s="10">
        <f t="shared" si="348"/>
        <v>0</v>
      </c>
      <c r="W377" s="10">
        <f t="shared" si="349"/>
        <v>0</v>
      </c>
      <c r="X377" s="10">
        <f t="shared" si="350"/>
        <v>0</v>
      </c>
      <c r="Y377" s="10">
        <f t="shared" si="351"/>
        <v>0</v>
      </c>
      <c r="Z377" s="10">
        <f t="shared" si="352"/>
        <v>0</v>
      </c>
      <c r="AA377" s="10">
        <f t="shared" si="353"/>
        <v>0</v>
      </c>
      <c r="AB377" s="10">
        <f t="shared" si="354"/>
        <v>0</v>
      </c>
      <c r="AC377" s="10">
        <f t="shared" si="355"/>
        <v>0</v>
      </c>
      <c r="AD377" s="10">
        <f t="shared" si="356"/>
        <v>0</v>
      </c>
      <c r="AE377" s="10">
        <f t="shared" si="357"/>
        <v>0</v>
      </c>
      <c r="AF377" s="10">
        <f t="shared" si="358"/>
        <v>0</v>
      </c>
      <c r="AG377" s="10">
        <f t="shared" si="359"/>
        <v>0</v>
      </c>
      <c r="AH377" s="10">
        <f t="shared" si="360"/>
        <v>0</v>
      </c>
      <c r="AI377" s="10">
        <f t="shared" si="361"/>
        <v>0</v>
      </c>
      <c r="AJ377" s="10">
        <f t="shared" si="362"/>
        <v>0</v>
      </c>
      <c r="AK377" s="10">
        <f t="shared" si="363"/>
        <v>0</v>
      </c>
      <c r="AL377" s="10">
        <f t="shared" si="364"/>
        <v>0</v>
      </c>
      <c r="AM377" s="10">
        <f t="shared" si="365"/>
        <v>0</v>
      </c>
      <c r="AN377" s="46">
        <f t="shared" si="366"/>
        <v>0</v>
      </c>
      <c r="AO377" s="10">
        <f t="shared" si="367"/>
        <v>0</v>
      </c>
      <c r="AP377" s="10">
        <f t="shared" si="368"/>
        <v>0</v>
      </c>
      <c r="AQ377" s="10">
        <f t="shared" si="369"/>
        <v>0</v>
      </c>
      <c r="AR377" s="10">
        <f t="shared" si="370"/>
        <v>0</v>
      </c>
      <c r="AS377" s="10">
        <f t="shared" si="371"/>
        <v>0</v>
      </c>
      <c r="AT377" s="10">
        <f t="shared" si="372"/>
        <v>0</v>
      </c>
      <c r="AU377" s="10">
        <f t="shared" si="373"/>
        <v>0</v>
      </c>
      <c r="AV377" s="10">
        <f t="shared" si="374"/>
        <v>0</v>
      </c>
      <c r="AW377" s="10">
        <f t="shared" si="375"/>
        <v>0</v>
      </c>
      <c r="AX377" s="10">
        <f t="shared" si="376"/>
        <v>0</v>
      </c>
    </row>
    <row r="378" spans="1:50" x14ac:dyDescent="0.2">
      <c r="A378" s="8">
        <v>17000</v>
      </c>
      <c r="B378" s="89" t="str">
        <f t="shared" si="328"/>
        <v>Singleton</v>
      </c>
      <c r="C378" s="9" t="str">
        <f t="shared" si="329"/>
        <v>Hunter</v>
      </c>
      <c r="D378" s="51" t="str">
        <f t="shared" si="330"/>
        <v>R</v>
      </c>
      <c r="E378" s="10" t="str">
        <f t="shared" si="331"/>
        <v>HJO</v>
      </c>
      <c r="F378" s="10">
        <f t="shared" si="332"/>
        <v>23380</v>
      </c>
      <c r="G378" s="10">
        <f t="shared" si="333"/>
        <v>11194</v>
      </c>
      <c r="H378" s="10">
        <f t="shared" si="334"/>
        <v>2.0886189029837414</v>
      </c>
      <c r="I378" s="10">
        <f t="shared" si="335"/>
        <v>4892.7</v>
      </c>
      <c r="J378" s="10">
        <f t="shared" si="336"/>
        <v>4.8</v>
      </c>
      <c r="K378" s="10">
        <f t="shared" si="337"/>
        <v>451</v>
      </c>
      <c r="L378" s="10" t="str">
        <f t="shared" si="338"/>
        <v>Y</v>
      </c>
      <c r="M378" s="10">
        <f t="shared" si="339"/>
        <v>8798</v>
      </c>
      <c r="N378" s="10">
        <f t="shared" si="340"/>
        <v>8905</v>
      </c>
      <c r="O378" s="10">
        <f t="shared" si="341"/>
        <v>6706</v>
      </c>
      <c r="P378" s="10">
        <f t="shared" si="342"/>
        <v>0</v>
      </c>
      <c r="Q378" s="10">
        <f t="shared" si="343"/>
        <v>11194</v>
      </c>
      <c r="R378" s="10" t="str">
        <f t="shared" si="344"/>
        <v>Yes</v>
      </c>
      <c r="S378" s="10" t="str">
        <f t="shared" si="345"/>
        <v>Singleton Waste Management Facility, 53 Dyrring Road FERN GULLY NSW</v>
      </c>
      <c r="T378" s="10" t="str">
        <f t="shared" si="346"/>
        <v>Community Recycling Centre, 53 Dyrring Road FERN GULLY NSW</v>
      </c>
      <c r="U378" s="10">
        <f t="shared" si="347"/>
        <v>0</v>
      </c>
      <c r="V378" s="10">
        <f t="shared" si="348"/>
        <v>0</v>
      </c>
      <c r="W378" s="10">
        <f t="shared" si="349"/>
        <v>0</v>
      </c>
      <c r="X378" s="10">
        <f t="shared" si="350"/>
        <v>0</v>
      </c>
      <c r="Y378" s="10">
        <f t="shared" si="351"/>
        <v>0</v>
      </c>
      <c r="Z378" s="10">
        <f t="shared" si="352"/>
        <v>0</v>
      </c>
      <c r="AA378" s="10">
        <f t="shared" si="353"/>
        <v>0</v>
      </c>
      <c r="AB378" s="10">
        <f t="shared" si="354"/>
        <v>0</v>
      </c>
      <c r="AC378" s="10">
        <f t="shared" si="355"/>
        <v>0</v>
      </c>
      <c r="AD378" s="10">
        <f t="shared" si="356"/>
        <v>0</v>
      </c>
      <c r="AE378" s="10">
        <f t="shared" si="357"/>
        <v>0</v>
      </c>
      <c r="AF378" s="10">
        <f t="shared" si="358"/>
        <v>0</v>
      </c>
      <c r="AG378" s="10">
        <f t="shared" si="359"/>
        <v>0</v>
      </c>
      <c r="AH378" s="10">
        <f t="shared" si="360"/>
        <v>0</v>
      </c>
      <c r="AI378" s="10">
        <f t="shared" si="361"/>
        <v>0</v>
      </c>
      <c r="AJ378" s="10">
        <f t="shared" si="362"/>
        <v>0</v>
      </c>
      <c r="AK378" s="10">
        <f t="shared" si="363"/>
        <v>0</v>
      </c>
      <c r="AL378" s="10">
        <f t="shared" si="364"/>
        <v>0</v>
      </c>
      <c r="AM378" s="10">
        <f t="shared" si="365"/>
        <v>0</v>
      </c>
      <c r="AN378" s="46">
        <f t="shared" si="366"/>
        <v>0</v>
      </c>
      <c r="AO378" s="10">
        <f t="shared" si="367"/>
        <v>0</v>
      </c>
      <c r="AP378" s="10">
        <f t="shared" si="368"/>
        <v>0</v>
      </c>
      <c r="AQ378" s="10">
        <f t="shared" si="369"/>
        <v>0</v>
      </c>
      <c r="AR378" s="10">
        <f t="shared" si="370"/>
        <v>0</v>
      </c>
      <c r="AS378" s="10">
        <f t="shared" si="371"/>
        <v>0</v>
      </c>
      <c r="AT378" s="10">
        <f t="shared" si="372"/>
        <v>0</v>
      </c>
      <c r="AU378" s="10">
        <f t="shared" si="373"/>
        <v>0</v>
      </c>
      <c r="AV378" s="10">
        <f t="shared" si="374"/>
        <v>0</v>
      </c>
      <c r="AW378" s="10">
        <f t="shared" si="375"/>
        <v>0</v>
      </c>
      <c r="AX378" s="10">
        <f t="shared" si="376"/>
        <v>0</v>
      </c>
    </row>
    <row r="379" spans="1:50" x14ac:dyDescent="0.2">
      <c r="A379" s="8">
        <v>17040</v>
      </c>
      <c r="B379" s="89" t="str">
        <f t="shared" si="328"/>
        <v>Snowy Monaro Regional</v>
      </c>
      <c r="C379" s="9" t="str">
        <f t="shared" si="329"/>
        <v>CRJO</v>
      </c>
      <c r="D379" s="51" t="str">
        <f t="shared" si="330"/>
        <v>N</v>
      </c>
      <c r="E379" s="10" t="str">
        <f t="shared" si="331"/>
        <v>CRJO</v>
      </c>
      <c r="F379" s="10">
        <f t="shared" si="332"/>
        <v>20997</v>
      </c>
      <c r="G379" s="10">
        <f t="shared" si="333"/>
        <v>10506</v>
      </c>
      <c r="H379" s="10">
        <f t="shared" si="334"/>
        <v>1.9985722444317533</v>
      </c>
      <c r="I379" s="10">
        <f t="shared" si="335"/>
        <v>15163.5</v>
      </c>
      <c r="J379" s="10">
        <f t="shared" si="336"/>
        <v>1.4</v>
      </c>
      <c r="K379" s="10">
        <f t="shared" si="337"/>
        <v>509</v>
      </c>
      <c r="L379" s="10" t="str">
        <f t="shared" si="338"/>
        <v>Y</v>
      </c>
      <c r="M379" s="10">
        <f t="shared" si="339"/>
        <v>7824</v>
      </c>
      <c r="N379" s="10">
        <f t="shared" si="340"/>
        <v>7477</v>
      </c>
      <c r="O379" s="10">
        <f t="shared" si="341"/>
        <v>0</v>
      </c>
      <c r="P379" s="10">
        <f t="shared" si="342"/>
        <v>2765</v>
      </c>
      <c r="Q379" s="10">
        <f t="shared" si="343"/>
        <v>0</v>
      </c>
      <c r="R379" s="10" t="str">
        <f t="shared" si="344"/>
        <v>Yes</v>
      </c>
      <c r="S379" s="10" t="str">
        <f t="shared" si="345"/>
        <v>Adaminaby Transfer Station</v>
      </c>
      <c r="T379" s="10" t="str">
        <f t="shared" si="346"/>
        <v>Berridale Transfer Station</v>
      </c>
      <c r="U379" s="10" t="str">
        <f t="shared" si="347"/>
        <v>Bredbo Transfer Station</v>
      </c>
      <c r="V379" s="10" t="str">
        <f t="shared" si="348"/>
        <v>Cooma Landfill</v>
      </c>
      <c r="W379" s="10" t="str">
        <f t="shared" si="349"/>
        <v>Bombala Landfill</v>
      </c>
      <c r="X379" s="10" t="str">
        <f t="shared" si="350"/>
        <v>Jindabyne Landfill</v>
      </c>
      <c r="Y379" s="10" t="str">
        <f t="shared" si="351"/>
        <v>Nimmitabel Transfer Station</v>
      </c>
      <c r="Z379" s="10">
        <f t="shared" si="352"/>
        <v>0</v>
      </c>
      <c r="AA379" s="10">
        <f t="shared" si="353"/>
        <v>0</v>
      </c>
      <c r="AB379" s="10">
        <f t="shared" si="354"/>
        <v>0</v>
      </c>
      <c r="AC379" s="10">
        <f t="shared" si="355"/>
        <v>0</v>
      </c>
      <c r="AD379" s="10">
        <f t="shared" si="356"/>
        <v>0</v>
      </c>
      <c r="AE379" s="10">
        <f t="shared" si="357"/>
        <v>0</v>
      </c>
      <c r="AF379" s="10">
        <f t="shared" si="358"/>
        <v>0</v>
      </c>
      <c r="AG379" s="10">
        <f t="shared" si="359"/>
        <v>0</v>
      </c>
      <c r="AH379" s="10">
        <f t="shared" si="360"/>
        <v>0</v>
      </c>
      <c r="AI379" s="10">
        <f t="shared" si="361"/>
        <v>0</v>
      </c>
      <c r="AJ379" s="10">
        <f t="shared" si="362"/>
        <v>0</v>
      </c>
      <c r="AK379" s="10">
        <f t="shared" si="363"/>
        <v>0</v>
      </c>
      <c r="AL379" s="10">
        <f t="shared" si="364"/>
        <v>0</v>
      </c>
      <c r="AM379" s="10">
        <f t="shared" si="365"/>
        <v>0</v>
      </c>
      <c r="AN379" s="46">
        <f t="shared" si="366"/>
        <v>0</v>
      </c>
      <c r="AO379" s="10">
        <f t="shared" si="367"/>
        <v>0</v>
      </c>
      <c r="AP379" s="10">
        <f t="shared" si="368"/>
        <v>0</v>
      </c>
      <c r="AQ379" s="10">
        <f t="shared" si="369"/>
        <v>0</v>
      </c>
      <c r="AR379" s="10">
        <f t="shared" si="370"/>
        <v>0</v>
      </c>
      <c r="AS379" s="10">
        <f t="shared" si="371"/>
        <v>0</v>
      </c>
      <c r="AT379" s="10">
        <f t="shared" si="372"/>
        <v>0</v>
      </c>
      <c r="AU379" s="10">
        <f t="shared" si="373"/>
        <v>0</v>
      </c>
      <c r="AV379" s="10">
        <f t="shared" si="374"/>
        <v>0</v>
      </c>
      <c r="AW379" s="10">
        <f t="shared" si="375"/>
        <v>0</v>
      </c>
      <c r="AX379" s="10">
        <f t="shared" si="376"/>
        <v>0</v>
      </c>
    </row>
    <row r="380" spans="1:50" x14ac:dyDescent="0.2">
      <c r="A380" s="8">
        <v>17080</v>
      </c>
      <c r="B380" s="89" t="str">
        <f t="shared" si="328"/>
        <v>Snowy Valleys</v>
      </c>
      <c r="C380" s="9" t="str">
        <f t="shared" si="329"/>
        <v>CRJO</v>
      </c>
      <c r="D380" s="51" t="str">
        <f t="shared" si="330"/>
        <v>N</v>
      </c>
      <c r="E380" s="10" t="str">
        <f t="shared" si="331"/>
        <v>CRJO</v>
      </c>
      <c r="F380" s="10">
        <f t="shared" si="332"/>
        <v>14412</v>
      </c>
      <c r="G380" s="10">
        <f t="shared" si="333"/>
        <v>6530</v>
      </c>
      <c r="H380" s="10">
        <f t="shared" si="334"/>
        <v>2.2070444104134763</v>
      </c>
      <c r="I380" s="10">
        <f t="shared" si="335"/>
        <v>8959</v>
      </c>
      <c r="J380" s="10">
        <f t="shared" si="336"/>
        <v>1.6</v>
      </c>
      <c r="K380" s="10">
        <f t="shared" si="337"/>
        <v>475</v>
      </c>
      <c r="L380" s="10" t="str">
        <f t="shared" si="338"/>
        <v>Y</v>
      </c>
      <c r="M380" s="10">
        <f t="shared" si="339"/>
        <v>5950</v>
      </c>
      <c r="N380" s="10">
        <f t="shared" si="340"/>
        <v>5720</v>
      </c>
      <c r="O380" s="10">
        <f t="shared" si="341"/>
        <v>0</v>
      </c>
      <c r="P380" s="10">
        <f t="shared" si="342"/>
        <v>0</v>
      </c>
      <c r="Q380" s="10">
        <f t="shared" si="343"/>
        <v>0</v>
      </c>
      <c r="R380" s="10" t="str">
        <f t="shared" si="344"/>
        <v>Yes</v>
      </c>
      <c r="S380" s="10" t="str">
        <f t="shared" si="345"/>
        <v>Adelong</v>
      </c>
      <c r="T380" s="10" t="str">
        <f t="shared" si="346"/>
        <v>Batlow</v>
      </c>
      <c r="U380" s="10" t="str">
        <f t="shared" si="347"/>
        <v>Khancoban</v>
      </c>
      <c r="V380" s="10" t="str">
        <f t="shared" si="348"/>
        <v>Talbingo</v>
      </c>
      <c r="W380" s="10" t="str">
        <f t="shared" si="349"/>
        <v>Tumbarumba</v>
      </c>
      <c r="X380" s="10" t="str">
        <f t="shared" si="350"/>
        <v>Tumut</v>
      </c>
      <c r="Y380" s="10">
        <f t="shared" si="351"/>
        <v>0</v>
      </c>
      <c r="Z380" s="10">
        <f t="shared" si="352"/>
        <v>0</v>
      </c>
      <c r="AA380" s="10">
        <f t="shared" si="353"/>
        <v>0</v>
      </c>
      <c r="AB380" s="10">
        <f t="shared" si="354"/>
        <v>0</v>
      </c>
      <c r="AC380" s="10">
        <f t="shared" si="355"/>
        <v>0</v>
      </c>
      <c r="AD380" s="10">
        <f t="shared" si="356"/>
        <v>0</v>
      </c>
      <c r="AE380" s="10">
        <f t="shared" si="357"/>
        <v>0</v>
      </c>
      <c r="AF380" s="10">
        <f t="shared" si="358"/>
        <v>0</v>
      </c>
      <c r="AG380" s="10">
        <f t="shared" si="359"/>
        <v>0</v>
      </c>
      <c r="AH380" s="10">
        <f t="shared" si="360"/>
        <v>0</v>
      </c>
      <c r="AI380" s="10">
        <f t="shared" si="361"/>
        <v>0</v>
      </c>
      <c r="AJ380" s="10">
        <f t="shared" si="362"/>
        <v>0</v>
      </c>
      <c r="AK380" s="10">
        <f t="shared" si="363"/>
        <v>0</v>
      </c>
      <c r="AL380" s="10">
        <f t="shared" si="364"/>
        <v>0</v>
      </c>
      <c r="AM380" s="10">
        <f t="shared" si="365"/>
        <v>0</v>
      </c>
      <c r="AN380" s="46">
        <f t="shared" si="366"/>
        <v>0</v>
      </c>
      <c r="AO380" s="10">
        <f t="shared" si="367"/>
        <v>0</v>
      </c>
      <c r="AP380" s="10">
        <f t="shared" si="368"/>
        <v>0</v>
      </c>
      <c r="AQ380" s="10">
        <f t="shared" si="369"/>
        <v>0</v>
      </c>
      <c r="AR380" s="10">
        <f t="shared" si="370"/>
        <v>0</v>
      </c>
      <c r="AS380" s="10">
        <f t="shared" si="371"/>
        <v>0</v>
      </c>
      <c r="AT380" s="10">
        <f t="shared" si="372"/>
        <v>0</v>
      </c>
      <c r="AU380" s="10">
        <f t="shared" si="373"/>
        <v>0</v>
      </c>
      <c r="AV380" s="10">
        <f t="shared" si="374"/>
        <v>0</v>
      </c>
      <c r="AW380" s="10">
        <f t="shared" si="375"/>
        <v>0</v>
      </c>
      <c r="AX380" s="10">
        <f t="shared" si="376"/>
        <v>0</v>
      </c>
    </row>
    <row r="381" spans="1:50" x14ac:dyDescent="0.2">
      <c r="A381" s="8">
        <v>17310</v>
      </c>
      <c r="B381" s="89" t="str">
        <f t="shared" si="328"/>
        <v>Tamworth Regional</v>
      </c>
      <c r="C381" s="9" t="str">
        <f t="shared" si="329"/>
        <v>NIRW</v>
      </c>
      <c r="D381" s="51" t="str">
        <f t="shared" si="330"/>
        <v>N</v>
      </c>
      <c r="E381" s="10" t="str">
        <f t="shared" si="331"/>
        <v>NJO</v>
      </c>
      <c r="F381" s="10">
        <f t="shared" si="332"/>
        <v>62545</v>
      </c>
      <c r="G381" s="10">
        <f t="shared" si="333"/>
        <v>28082</v>
      </c>
      <c r="H381" s="10">
        <f t="shared" si="334"/>
        <v>2.2272274054554519</v>
      </c>
      <c r="I381" s="10">
        <f t="shared" si="335"/>
        <v>9884.4</v>
      </c>
      <c r="J381" s="10">
        <f t="shared" si="336"/>
        <v>6.3</v>
      </c>
      <c r="K381" s="10">
        <f t="shared" si="337"/>
        <v>322</v>
      </c>
      <c r="L381" s="10" t="str">
        <f t="shared" si="338"/>
        <v>Y</v>
      </c>
      <c r="M381" s="10">
        <f t="shared" si="339"/>
        <v>28082</v>
      </c>
      <c r="N381" s="10">
        <f t="shared" si="340"/>
        <v>25078</v>
      </c>
      <c r="O381" s="10">
        <f t="shared" si="341"/>
        <v>19861</v>
      </c>
      <c r="P381" s="10">
        <f t="shared" si="342"/>
        <v>0</v>
      </c>
      <c r="Q381" s="10">
        <f t="shared" si="343"/>
        <v>28082</v>
      </c>
      <c r="R381" s="10" t="str">
        <f t="shared" si="344"/>
        <v>Yes</v>
      </c>
      <c r="S381" s="10" t="str">
        <f t="shared" si="345"/>
        <v>Forest Road Landfill 123A Forest Road North Tamworth</v>
      </c>
      <c r="T381" s="10" t="str">
        <f t="shared" si="346"/>
        <v>Barraba Landfill</v>
      </c>
      <c r="U381" s="10" t="str">
        <f t="shared" si="347"/>
        <v>Manilla Landfill</v>
      </c>
      <c r="V381" s="10" t="str">
        <f t="shared" si="348"/>
        <v>Nundle Landfill</v>
      </c>
      <c r="W381" s="10" t="str">
        <f t="shared" si="349"/>
        <v>Somerton SVTS</v>
      </c>
      <c r="X381" s="10" t="str">
        <f t="shared" si="350"/>
        <v>Kootingal SVTS</v>
      </c>
      <c r="Y381" s="10" t="str">
        <f t="shared" si="351"/>
        <v>Duri SVTS, Dungowan SVTS, Bendemeer SVTS, Niangala SVTS</v>
      </c>
      <c r="Z381" s="10">
        <f t="shared" si="352"/>
        <v>0</v>
      </c>
      <c r="AA381" s="10">
        <f t="shared" si="353"/>
        <v>0</v>
      </c>
      <c r="AB381" s="10">
        <f t="shared" si="354"/>
        <v>0</v>
      </c>
      <c r="AC381" s="10">
        <f t="shared" si="355"/>
        <v>0</v>
      </c>
      <c r="AD381" s="10">
        <f t="shared" si="356"/>
        <v>0</v>
      </c>
      <c r="AE381" s="10">
        <f t="shared" si="357"/>
        <v>0</v>
      </c>
      <c r="AF381" s="10">
        <f t="shared" si="358"/>
        <v>0</v>
      </c>
      <c r="AG381" s="10">
        <f t="shared" si="359"/>
        <v>0</v>
      </c>
      <c r="AH381" s="10">
        <f t="shared" si="360"/>
        <v>0</v>
      </c>
      <c r="AI381" s="10">
        <f t="shared" si="361"/>
        <v>0</v>
      </c>
      <c r="AJ381" s="10">
        <f t="shared" si="362"/>
        <v>0</v>
      </c>
      <c r="AK381" s="10">
        <f t="shared" si="363"/>
        <v>0</v>
      </c>
      <c r="AL381" s="10">
        <f t="shared" si="364"/>
        <v>0</v>
      </c>
      <c r="AM381" s="10">
        <f t="shared" si="365"/>
        <v>0</v>
      </c>
      <c r="AN381" s="46">
        <f t="shared" si="366"/>
        <v>0</v>
      </c>
      <c r="AO381" s="10">
        <f t="shared" si="367"/>
        <v>0</v>
      </c>
      <c r="AP381" s="10">
        <f t="shared" si="368"/>
        <v>0</v>
      </c>
      <c r="AQ381" s="10">
        <f t="shared" si="369"/>
        <v>0</v>
      </c>
      <c r="AR381" s="10">
        <f t="shared" si="370"/>
        <v>0</v>
      </c>
      <c r="AS381" s="10">
        <f t="shared" si="371"/>
        <v>0</v>
      </c>
      <c r="AT381" s="10">
        <f t="shared" si="372"/>
        <v>0</v>
      </c>
      <c r="AU381" s="10">
        <f t="shared" si="373"/>
        <v>0</v>
      </c>
      <c r="AV381" s="10">
        <f t="shared" si="374"/>
        <v>0</v>
      </c>
      <c r="AW381" s="10">
        <f t="shared" si="375"/>
        <v>0</v>
      </c>
      <c r="AX381" s="10">
        <f t="shared" si="376"/>
        <v>0</v>
      </c>
    </row>
    <row r="382" spans="1:50" x14ac:dyDescent="0.2">
      <c r="A382" s="8">
        <v>17350</v>
      </c>
      <c r="B382" s="89" t="str">
        <f t="shared" si="328"/>
        <v>Temora</v>
      </c>
      <c r="C382" s="9" t="str">
        <f t="shared" si="329"/>
        <v>REROC</v>
      </c>
      <c r="D382" s="51" t="str">
        <f t="shared" si="330"/>
        <v>N</v>
      </c>
      <c r="E382" s="10" t="str">
        <f t="shared" si="331"/>
        <v>RJO</v>
      </c>
      <c r="F382" s="10">
        <f t="shared" si="332"/>
        <v>6274</v>
      </c>
      <c r="G382" s="10">
        <f t="shared" si="333"/>
        <v>3827</v>
      </c>
      <c r="H382" s="10">
        <f t="shared" si="334"/>
        <v>1.6394042330807421</v>
      </c>
      <c r="I382" s="10">
        <f t="shared" si="335"/>
        <v>2802</v>
      </c>
      <c r="J382" s="10">
        <f t="shared" si="336"/>
        <v>2.2000000000000002</v>
      </c>
      <c r="K382" s="10">
        <f t="shared" si="337"/>
        <v>251.2</v>
      </c>
      <c r="L382" s="10" t="str">
        <f t="shared" si="338"/>
        <v>Y</v>
      </c>
      <c r="M382" s="10">
        <f t="shared" si="339"/>
        <v>2453</v>
      </c>
      <c r="N382" s="10">
        <f t="shared" si="340"/>
        <v>0</v>
      </c>
      <c r="O382" s="10">
        <f t="shared" si="341"/>
        <v>0</v>
      </c>
      <c r="P382" s="10">
        <f t="shared" si="342"/>
        <v>0</v>
      </c>
      <c r="Q382" s="10">
        <f t="shared" si="343"/>
        <v>3827</v>
      </c>
      <c r="R382" s="10" t="str">
        <f t="shared" si="344"/>
        <v>Yes</v>
      </c>
      <c r="S382" s="10" t="str">
        <f t="shared" si="345"/>
        <v>Temora Landfill Site</v>
      </c>
      <c r="T382" s="10" t="str">
        <f t="shared" si="346"/>
        <v>Ariah Park Landfill Site</v>
      </c>
      <c r="U382" s="10" t="str">
        <f t="shared" si="347"/>
        <v>Lions Club Recycling Depot</v>
      </c>
      <c r="V382" s="10">
        <f t="shared" si="348"/>
        <v>0</v>
      </c>
      <c r="W382" s="10">
        <f t="shared" si="349"/>
        <v>0</v>
      </c>
      <c r="X382" s="10">
        <f t="shared" si="350"/>
        <v>0</v>
      </c>
      <c r="Y382" s="10">
        <f t="shared" si="351"/>
        <v>0</v>
      </c>
      <c r="Z382" s="10">
        <f t="shared" si="352"/>
        <v>0</v>
      </c>
      <c r="AA382" s="10">
        <f t="shared" si="353"/>
        <v>0</v>
      </c>
      <c r="AB382" s="10">
        <f t="shared" si="354"/>
        <v>0</v>
      </c>
      <c r="AC382" s="10">
        <f t="shared" si="355"/>
        <v>0</v>
      </c>
      <c r="AD382" s="10">
        <f t="shared" si="356"/>
        <v>0</v>
      </c>
      <c r="AE382" s="10">
        <f t="shared" si="357"/>
        <v>0</v>
      </c>
      <c r="AF382" s="10">
        <f t="shared" si="358"/>
        <v>0</v>
      </c>
      <c r="AG382" s="10">
        <f t="shared" si="359"/>
        <v>0</v>
      </c>
      <c r="AH382" s="10">
        <f t="shared" si="360"/>
        <v>0</v>
      </c>
      <c r="AI382" s="10">
        <f t="shared" si="361"/>
        <v>0</v>
      </c>
      <c r="AJ382" s="10">
        <f t="shared" si="362"/>
        <v>0</v>
      </c>
      <c r="AK382" s="10">
        <f t="shared" si="363"/>
        <v>0</v>
      </c>
      <c r="AL382" s="10">
        <f t="shared" si="364"/>
        <v>0</v>
      </c>
      <c r="AM382" s="10">
        <f t="shared" si="365"/>
        <v>0</v>
      </c>
      <c r="AN382" s="46">
        <f t="shared" si="366"/>
        <v>0</v>
      </c>
      <c r="AO382" s="10">
        <f t="shared" si="367"/>
        <v>0</v>
      </c>
      <c r="AP382" s="10">
        <f t="shared" si="368"/>
        <v>0</v>
      </c>
      <c r="AQ382" s="10">
        <f t="shared" si="369"/>
        <v>0</v>
      </c>
      <c r="AR382" s="10">
        <f t="shared" si="370"/>
        <v>0</v>
      </c>
      <c r="AS382" s="10">
        <f t="shared" si="371"/>
        <v>0</v>
      </c>
      <c r="AT382" s="10">
        <f t="shared" si="372"/>
        <v>0</v>
      </c>
      <c r="AU382" s="10">
        <f t="shared" si="373"/>
        <v>0</v>
      </c>
      <c r="AV382" s="10">
        <f t="shared" si="374"/>
        <v>0</v>
      </c>
      <c r="AW382" s="10">
        <f t="shared" si="375"/>
        <v>0</v>
      </c>
      <c r="AX382" s="10">
        <f t="shared" si="376"/>
        <v>0</v>
      </c>
    </row>
    <row r="383" spans="1:50" x14ac:dyDescent="0.2">
      <c r="A383" s="8">
        <v>17400</v>
      </c>
      <c r="B383" s="89" t="str">
        <f t="shared" si="328"/>
        <v>Tenterfield</v>
      </c>
      <c r="C383" s="9" t="str">
        <f t="shared" si="329"/>
        <v>NIRW</v>
      </c>
      <c r="D383" s="51" t="str">
        <f t="shared" si="330"/>
        <v>N</v>
      </c>
      <c r="E383" s="10" t="str">
        <f t="shared" si="331"/>
        <v>NEJO</v>
      </c>
      <c r="F383" s="10">
        <f t="shared" si="332"/>
        <v>6470</v>
      </c>
      <c r="G383" s="10">
        <f t="shared" si="333"/>
        <v>4933</v>
      </c>
      <c r="H383" s="10">
        <f t="shared" si="334"/>
        <v>1.3115751064261099</v>
      </c>
      <c r="I383" s="10">
        <f t="shared" si="335"/>
        <v>7322.8</v>
      </c>
      <c r="J383" s="10">
        <f t="shared" si="336"/>
        <v>0.9</v>
      </c>
      <c r="K383" s="10">
        <f t="shared" si="337"/>
        <v>612</v>
      </c>
      <c r="L383" s="10" t="str">
        <f t="shared" si="338"/>
        <v>Y</v>
      </c>
      <c r="M383" s="10">
        <f t="shared" si="339"/>
        <v>2314</v>
      </c>
      <c r="N383" s="10">
        <f t="shared" si="340"/>
        <v>1740</v>
      </c>
      <c r="O383" s="10">
        <f t="shared" si="341"/>
        <v>0</v>
      </c>
      <c r="P383" s="10">
        <f t="shared" si="342"/>
        <v>0</v>
      </c>
      <c r="Q383" s="10">
        <f t="shared" si="343"/>
        <v>0</v>
      </c>
      <c r="R383" s="10" t="str">
        <f t="shared" si="344"/>
        <v>Yes</v>
      </c>
      <c r="S383" s="10" t="str">
        <f t="shared" si="345"/>
        <v>Tenterfield WTS</v>
      </c>
      <c r="T383" s="10" t="str">
        <f t="shared" si="346"/>
        <v>Liston WTS</v>
      </c>
      <c r="U383" s="10" t="str">
        <f t="shared" si="347"/>
        <v>Legume WTS</v>
      </c>
      <c r="V383" s="10" t="str">
        <f t="shared" si="348"/>
        <v>Drake WTS</v>
      </c>
      <c r="W383" s="10" t="str">
        <f t="shared" si="349"/>
        <v>Urbenville WTS</v>
      </c>
      <c r="X383" s="10" t="str">
        <f t="shared" si="350"/>
        <v>Torrington (Industrial collections) landfill closed</v>
      </c>
      <c r="Y383" s="10" t="str">
        <f t="shared" si="351"/>
        <v>Mingoola (industrial collection)</v>
      </c>
      <c r="Z383" s="10">
        <f t="shared" si="352"/>
        <v>0</v>
      </c>
      <c r="AA383" s="10">
        <f t="shared" si="353"/>
        <v>0</v>
      </c>
      <c r="AB383" s="10">
        <f t="shared" si="354"/>
        <v>0</v>
      </c>
      <c r="AC383" s="10">
        <f t="shared" si="355"/>
        <v>0</v>
      </c>
      <c r="AD383" s="10">
        <f t="shared" si="356"/>
        <v>0</v>
      </c>
      <c r="AE383" s="10">
        <f t="shared" si="357"/>
        <v>0</v>
      </c>
      <c r="AF383" s="10">
        <f t="shared" si="358"/>
        <v>0</v>
      </c>
      <c r="AG383" s="10">
        <f t="shared" si="359"/>
        <v>0</v>
      </c>
      <c r="AH383" s="10">
        <f t="shared" si="360"/>
        <v>0</v>
      </c>
      <c r="AI383" s="10">
        <f t="shared" si="361"/>
        <v>0</v>
      </c>
      <c r="AJ383" s="10">
        <f t="shared" si="362"/>
        <v>0</v>
      </c>
      <c r="AK383" s="10">
        <f t="shared" si="363"/>
        <v>0</v>
      </c>
      <c r="AL383" s="10">
        <f t="shared" si="364"/>
        <v>0</v>
      </c>
      <c r="AM383" s="10">
        <f t="shared" si="365"/>
        <v>0</v>
      </c>
      <c r="AN383" s="46">
        <f t="shared" si="366"/>
        <v>0</v>
      </c>
      <c r="AO383" s="10">
        <f t="shared" si="367"/>
        <v>0</v>
      </c>
      <c r="AP383" s="10">
        <f t="shared" si="368"/>
        <v>0</v>
      </c>
      <c r="AQ383" s="10">
        <f t="shared" si="369"/>
        <v>0</v>
      </c>
      <c r="AR383" s="10">
        <f t="shared" si="370"/>
        <v>0</v>
      </c>
      <c r="AS383" s="10">
        <f t="shared" si="371"/>
        <v>0</v>
      </c>
      <c r="AT383" s="10">
        <f t="shared" si="372"/>
        <v>0</v>
      </c>
      <c r="AU383" s="10">
        <f t="shared" si="373"/>
        <v>0</v>
      </c>
      <c r="AV383" s="10">
        <f t="shared" si="374"/>
        <v>0</v>
      </c>
      <c r="AW383" s="10">
        <f t="shared" si="375"/>
        <v>0</v>
      </c>
      <c r="AX383" s="10">
        <f t="shared" si="376"/>
        <v>0</v>
      </c>
    </row>
    <row r="384" spans="1:50" x14ac:dyDescent="0.2">
      <c r="A384" s="8">
        <v>17550</v>
      </c>
      <c r="B384" s="89" t="str">
        <f t="shared" si="328"/>
        <v>Tweed</v>
      </c>
      <c r="C384" s="9" t="str">
        <f t="shared" si="329"/>
        <v>NEWF</v>
      </c>
      <c r="D384" s="51" t="str">
        <f t="shared" si="330"/>
        <v>R</v>
      </c>
      <c r="E384" s="10" t="str">
        <f t="shared" si="331"/>
        <v>NRJO</v>
      </c>
      <c r="F384" s="10">
        <f t="shared" si="332"/>
        <v>98382</v>
      </c>
      <c r="G384" s="10">
        <f t="shared" si="333"/>
        <v>41548</v>
      </c>
      <c r="H384" s="10">
        <f t="shared" si="334"/>
        <v>2.3679118128429768</v>
      </c>
      <c r="I384" s="10">
        <f t="shared" si="335"/>
        <v>1307.7</v>
      </c>
      <c r="J384" s="10">
        <f t="shared" si="336"/>
        <v>75.2</v>
      </c>
      <c r="K384" s="10">
        <f t="shared" si="337"/>
        <v>497.4</v>
      </c>
      <c r="L384" s="10" t="str">
        <f t="shared" si="338"/>
        <v>Y</v>
      </c>
      <c r="M384" s="10">
        <f t="shared" si="339"/>
        <v>39556</v>
      </c>
      <c r="N384" s="10">
        <f t="shared" si="340"/>
        <v>39013</v>
      </c>
      <c r="O384" s="10">
        <f t="shared" si="341"/>
        <v>0</v>
      </c>
      <c r="P384" s="10">
        <f t="shared" si="342"/>
        <v>26925</v>
      </c>
      <c r="Q384" s="10">
        <f t="shared" si="343"/>
        <v>41548</v>
      </c>
      <c r="R384" s="10" t="str">
        <f t="shared" si="344"/>
        <v>Yes</v>
      </c>
      <c r="S384" s="10" t="str">
        <f t="shared" si="345"/>
        <v>Stotts Creek Resource Recovery Centre</v>
      </c>
      <c r="T384" s="10">
        <f t="shared" si="346"/>
        <v>0</v>
      </c>
      <c r="U384" s="10">
        <f t="shared" si="347"/>
        <v>0</v>
      </c>
      <c r="V384" s="10">
        <f t="shared" si="348"/>
        <v>0</v>
      </c>
      <c r="W384" s="10">
        <f t="shared" si="349"/>
        <v>0</v>
      </c>
      <c r="X384" s="10">
        <f t="shared" si="350"/>
        <v>0</v>
      </c>
      <c r="Y384" s="10">
        <f t="shared" si="351"/>
        <v>0</v>
      </c>
      <c r="Z384" s="10">
        <f t="shared" si="352"/>
        <v>0</v>
      </c>
      <c r="AA384" s="10">
        <f t="shared" si="353"/>
        <v>0</v>
      </c>
      <c r="AB384" s="10">
        <f t="shared" si="354"/>
        <v>0</v>
      </c>
      <c r="AC384" s="10">
        <f t="shared" si="355"/>
        <v>0</v>
      </c>
      <c r="AD384" s="10">
        <f t="shared" si="356"/>
        <v>0</v>
      </c>
      <c r="AE384" s="10">
        <f t="shared" si="357"/>
        <v>0</v>
      </c>
      <c r="AF384" s="10">
        <f t="shared" si="358"/>
        <v>0</v>
      </c>
      <c r="AG384" s="10">
        <f t="shared" si="359"/>
        <v>0</v>
      </c>
      <c r="AH384" s="10">
        <f t="shared" si="360"/>
        <v>0</v>
      </c>
      <c r="AI384" s="10">
        <f t="shared" si="361"/>
        <v>0</v>
      </c>
      <c r="AJ384" s="10">
        <f t="shared" si="362"/>
        <v>0</v>
      </c>
      <c r="AK384" s="10">
        <f t="shared" si="363"/>
        <v>0</v>
      </c>
      <c r="AL384" s="10">
        <f t="shared" si="364"/>
        <v>0</v>
      </c>
      <c r="AM384" s="10">
        <f t="shared" si="365"/>
        <v>0</v>
      </c>
      <c r="AN384" s="46">
        <f t="shared" si="366"/>
        <v>0</v>
      </c>
      <c r="AO384" s="10">
        <f t="shared" si="367"/>
        <v>0</v>
      </c>
      <c r="AP384" s="10">
        <f t="shared" si="368"/>
        <v>0</v>
      </c>
      <c r="AQ384" s="10">
        <f t="shared" si="369"/>
        <v>0</v>
      </c>
      <c r="AR384" s="10">
        <f t="shared" si="370"/>
        <v>0</v>
      </c>
      <c r="AS384" s="10">
        <f t="shared" si="371"/>
        <v>0</v>
      </c>
      <c r="AT384" s="10">
        <f t="shared" si="372"/>
        <v>0</v>
      </c>
      <c r="AU384" s="10">
        <f t="shared" si="373"/>
        <v>0</v>
      </c>
      <c r="AV384" s="10">
        <f t="shared" si="374"/>
        <v>0</v>
      </c>
      <c r="AW384" s="10">
        <f t="shared" si="375"/>
        <v>0</v>
      </c>
      <c r="AX384" s="10">
        <f t="shared" si="376"/>
        <v>0</v>
      </c>
    </row>
    <row r="385" spans="1:50" x14ac:dyDescent="0.2">
      <c r="A385" s="8">
        <v>17620</v>
      </c>
      <c r="B385" s="89" t="str">
        <f t="shared" si="328"/>
        <v>Upper Hunter Shire</v>
      </c>
      <c r="C385" s="9" t="str">
        <f t="shared" si="329"/>
        <v>Hunter</v>
      </c>
      <c r="D385" s="51" t="str">
        <f t="shared" si="330"/>
        <v>R</v>
      </c>
      <c r="E385" s="10" t="str">
        <f t="shared" si="331"/>
        <v>HJO</v>
      </c>
      <c r="F385" s="10">
        <f t="shared" si="332"/>
        <v>14167</v>
      </c>
      <c r="G385" s="10">
        <f t="shared" si="333"/>
        <v>7633</v>
      </c>
      <c r="H385" s="10">
        <f t="shared" si="334"/>
        <v>1.8560199135333422</v>
      </c>
      <c r="I385" s="10">
        <f t="shared" si="335"/>
        <v>8096.1</v>
      </c>
      <c r="J385" s="10">
        <f t="shared" si="336"/>
        <v>1.7</v>
      </c>
      <c r="K385" s="10">
        <f t="shared" si="337"/>
        <v>665</v>
      </c>
      <c r="L385" s="10" t="str">
        <f t="shared" si="338"/>
        <v>Y</v>
      </c>
      <c r="M385" s="10">
        <f t="shared" si="339"/>
        <v>4755</v>
      </c>
      <c r="N385" s="10">
        <f t="shared" si="340"/>
        <v>4704</v>
      </c>
      <c r="O385" s="10">
        <f t="shared" si="341"/>
        <v>0</v>
      </c>
      <c r="P385" s="10">
        <f t="shared" si="342"/>
        <v>0</v>
      </c>
      <c r="Q385" s="10">
        <f t="shared" si="343"/>
        <v>7633</v>
      </c>
      <c r="R385" s="10" t="str">
        <f t="shared" si="344"/>
        <v>Yes</v>
      </c>
      <c r="S385" s="10" t="str">
        <f t="shared" si="345"/>
        <v>Scone WMF Noblet Rd Scone</v>
      </c>
      <c r="T385" s="10" t="str">
        <f t="shared" si="346"/>
        <v>Aberdeen WMF Wells Gully Rd Aberdeen</v>
      </c>
      <c r="U385" s="10" t="str">
        <f t="shared" si="347"/>
        <v>Merriwa WMF Depot Rd Merriwa</v>
      </c>
      <c r="V385" s="10" t="str">
        <f t="shared" si="348"/>
        <v>Murrurundi WMF Halls Rd Murrurundi</v>
      </c>
      <c r="W385" s="10">
        <f t="shared" si="349"/>
        <v>0</v>
      </c>
      <c r="X385" s="10">
        <f t="shared" si="350"/>
        <v>0</v>
      </c>
      <c r="Y385" s="10">
        <f t="shared" si="351"/>
        <v>0</v>
      </c>
      <c r="Z385" s="10">
        <f t="shared" si="352"/>
        <v>0</v>
      </c>
      <c r="AA385" s="10">
        <f t="shared" si="353"/>
        <v>0</v>
      </c>
      <c r="AB385" s="10">
        <f t="shared" si="354"/>
        <v>0</v>
      </c>
      <c r="AC385" s="10">
        <f t="shared" si="355"/>
        <v>0</v>
      </c>
      <c r="AD385" s="10">
        <f t="shared" si="356"/>
        <v>0</v>
      </c>
      <c r="AE385" s="10">
        <f t="shared" si="357"/>
        <v>0</v>
      </c>
      <c r="AF385" s="10">
        <f t="shared" si="358"/>
        <v>0</v>
      </c>
      <c r="AG385" s="10">
        <f t="shared" si="359"/>
        <v>0</v>
      </c>
      <c r="AH385" s="10">
        <f t="shared" si="360"/>
        <v>0</v>
      </c>
      <c r="AI385" s="10">
        <f t="shared" si="361"/>
        <v>0</v>
      </c>
      <c r="AJ385" s="10">
        <f t="shared" si="362"/>
        <v>0</v>
      </c>
      <c r="AK385" s="10">
        <f t="shared" si="363"/>
        <v>0</v>
      </c>
      <c r="AL385" s="10">
        <f t="shared" si="364"/>
        <v>0</v>
      </c>
      <c r="AM385" s="10">
        <f t="shared" si="365"/>
        <v>0</v>
      </c>
      <c r="AN385" s="46">
        <f t="shared" si="366"/>
        <v>0</v>
      </c>
      <c r="AO385" s="10">
        <f t="shared" si="367"/>
        <v>0</v>
      </c>
      <c r="AP385" s="10">
        <f t="shared" si="368"/>
        <v>0</v>
      </c>
      <c r="AQ385" s="10">
        <f t="shared" si="369"/>
        <v>0</v>
      </c>
      <c r="AR385" s="10">
        <f t="shared" si="370"/>
        <v>0</v>
      </c>
      <c r="AS385" s="10">
        <f t="shared" si="371"/>
        <v>0</v>
      </c>
      <c r="AT385" s="10">
        <f t="shared" si="372"/>
        <v>0</v>
      </c>
      <c r="AU385" s="10">
        <f t="shared" si="373"/>
        <v>0</v>
      </c>
      <c r="AV385" s="10">
        <f t="shared" si="374"/>
        <v>0</v>
      </c>
      <c r="AW385" s="10">
        <f t="shared" si="375"/>
        <v>0</v>
      </c>
      <c r="AX385" s="10">
        <f t="shared" si="376"/>
        <v>0</v>
      </c>
    </row>
    <row r="386" spans="1:50" x14ac:dyDescent="0.2">
      <c r="A386" s="8">
        <v>17640</v>
      </c>
      <c r="B386" s="89" t="str">
        <f t="shared" si="328"/>
        <v>Upper Lachlan Shire</v>
      </c>
      <c r="C386" s="9" t="str">
        <f t="shared" si="329"/>
        <v>CRJO</v>
      </c>
      <c r="D386" s="51" t="str">
        <f t="shared" si="330"/>
        <v>N</v>
      </c>
      <c r="E386" s="10" t="str">
        <f t="shared" si="331"/>
        <v>CRJO</v>
      </c>
      <c r="F386" s="10">
        <f t="shared" si="332"/>
        <v>8274</v>
      </c>
      <c r="G386" s="10">
        <f t="shared" si="333"/>
        <v>6397</v>
      </c>
      <c r="H386" s="10">
        <f t="shared" si="334"/>
        <v>1.2934187900578396</v>
      </c>
      <c r="I386" s="10">
        <f t="shared" si="335"/>
        <v>7127.4</v>
      </c>
      <c r="J386" s="10">
        <f t="shared" si="336"/>
        <v>1.2</v>
      </c>
      <c r="K386" s="10">
        <f t="shared" si="337"/>
        <v>485</v>
      </c>
      <c r="L386" s="10" t="str">
        <f t="shared" si="338"/>
        <v>Y</v>
      </c>
      <c r="M386" s="10">
        <f t="shared" si="339"/>
        <v>2193</v>
      </c>
      <c r="N386" s="10">
        <f t="shared" si="340"/>
        <v>2193</v>
      </c>
      <c r="O386" s="10">
        <f t="shared" si="341"/>
        <v>2193</v>
      </c>
      <c r="P386" s="10">
        <f t="shared" si="342"/>
        <v>0</v>
      </c>
      <c r="Q386" s="10">
        <f t="shared" si="343"/>
        <v>0</v>
      </c>
      <c r="R386" s="10" t="str">
        <f t="shared" si="344"/>
        <v>Yes</v>
      </c>
      <c r="S386" s="10" t="str">
        <f t="shared" si="345"/>
        <v>Crookwell Waste Facility</v>
      </c>
      <c r="T386" s="10" t="str">
        <f t="shared" si="346"/>
        <v>Gunning Waste Facility</v>
      </c>
      <c r="U386" s="10" t="str">
        <f t="shared" si="347"/>
        <v>Taralga Waste Facility</v>
      </c>
      <c r="V386" s="10" t="str">
        <f t="shared" si="348"/>
        <v>Collector Waste Facility</v>
      </c>
      <c r="W386" s="10" t="str">
        <f t="shared" si="349"/>
        <v>Bigga Waste Facility</v>
      </c>
      <c r="X386" s="10" t="str">
        <f t="shared" si="350"/>
        <v>Tuena Waste Facility</v>
      </c>
      <c r="Y386" s="10">
        <f t="shared" si="351"/>
        <v>0</v>
      </c>
      <c r="Z386" s="10">
        <f t="shared" si="352"/>
        <v>0</v>
      </c>
      <c r="AA386" s="10">
        <f t="shared" si="353"/>
        <v>0</v>
      </c>
      <c r="AB386" s="10">
        <f t="shared" si="354"/>
        <v>0</v>
      </c>
      <c r="AC386" s="10">
        <f t="shared" si="355"/>
        <v>0</v>
      </c>
      <c r="AD386" s="10">
        <f t="shared" si="356"/>
        <v>0</v>
      </c>
      <c r="AE386" s="10">
        <f t="shared" si="357"/>
        <v>0</v>
      </c>
      <c r="AF386" s="10">
        <f t="shared" si="358"/>
        <v>0</v>
      </c>
      <c r="AG386" s="10">
        <f t="shared" si="359"/>
        <v>0</v>
      </c>
      <c r="AH386" s="10">
        <f t="shared" si="360"/>
        <v>0</v>
      </c>
      <c r="AI386" s="10">
        <f t="shared" si="361"/>
        <v>0</v>
      </c>
      <c r="AJ386" s="10">
        <f t="shared" si="362"/>
        <v>0</v>
      </c>
      <c r="AK386" s="10">
        <f t="shared" si="363"/>
        <v>0</v>
      </c>
      <c r="AL386" s="10">
        <f t="shared" si="364"/>
        <v>0</v>
      </c>
      <c r="AM386" s="10">
        <f t="shared" si="365"/>
        <v>0</v>
      </c>
      <c r="AN386" s="46">
        <f t="shared" si="366"/>
        <v>0</v>
      </c>
      <c r="AO386" s="10">
        <f t="shared" si="367"/>
        <v>0</v>
      </c>
      <c r="AP386" s="10">
        <f t="shared" si="368"/>
        <v>0</v>
      </c>
      <c r="AQ386" s="10">
        <f t="shared" si="369"/>
        <v>0</v>
      </c>
      <c r="AR386" s="10">
        <f t="shared" si="370"/>
        <v>0</v>
      </c>
      <c r="AS386" s="10">
        <f t="shared" si="371"/>
        <v>0</v>
      </c>
      <c r="AT386" s="10">
        <f t="shared" si="372"/>
        <v>0</v>
      </c>
      <c r="AU386" s="10">
        <f t="shared" si="373"/>
        <v>0</v>
      </c>
      <c r="AV386" s="10">
        <f t="shared" si="374"/>
        <v>0</v>
      </c>
      <c r="AW386" s="10">
        <f t="shared" si="375"/>
        <v>0</v>
      </c>
      <c r="AX386" s="10">
        <f t="shared" si="376"/>
        <v>0</v>
      </c>
    </row>
    <row r="387" spans="1:50" x14ac:dyDescent="0.2">
      <c r="A387" s="8">
        <v>17650</v>
      </c>
      <c r="B387" s="89" t="str">
        <f t="shared" si="328"/>
        <v>Uralla</v>
      </c>
      <c r="C387" s="9" t="str">
        <f t="shared" si="329"/>
        <v>NIRW</v>
      </c>
      <c r="D387" s="51" t="str">
        <f t="shared" si="330"/>
        <v>N</v>
      </c>
      <c r="E387" s="10" t="str">
        <f t="shared" si="331"/>
        <v>NEJO</v>
      </c>
      <c r="F387" s="10">
        <f t="shared" si="332"/>
        <v>5944</v>
      </c>
      <c r="G387" s="10">
        <f t="shared" si="333"/>
        <v>3160</v>
      </c>
      <c r="H387" s="10">
        <f t="shared" si="334"/>
        <v>1.8810126582278481</v>
      </c>
      <c r="I387" s="10">
        <f t="shared" si="335"/>
        <v>3226.5</v>
      </c>
      <c r="J387" s="10">
        <f t="shared" si="336"/>
        <v>1.8</v>
      </c>
      <c r="K387" s="10">
        <f t="shared" si="337"/>
        <v>352</v>
      </c>
      <c r="L387" s="10" t="str">
        <f t="shared" si="338"/>
        <v>Y</v>
      </c>
      <c r="M387" s="10">
        <f t="shared" si="339"/>
        <v>2004</v>
      </c>
      <c r="N387" s="10">
        <f t="shared" si="340"/>
        <v>1899</v>
      </c>
      <c r="O387" s="10">
        <f t="shared" si="341"/>
        <v>99</v>
      </c>
      <c r="P387" s="10">
        <f t="shared" si="342"/>
        <v>0</v>
      </c>
      <c r="Q387" s="10">
        <f t="shared" si="343"/>
        <v>0</v>
      </c>
      <c r="R387" s="10" t="str">
        <f t="shared" si="344"/>
        <v>Yes</v>
      </c>
      <c r="S387" s="10" t="str">
        <f t="shared" si="345"/>
        <v>Uralla Waste Management Facility, Rowan Ave URALLA</v>
      </c>
      <c r="T387" s="10" t="str">
        <f t="shared" si="346"/>
        <v>Bundarra Waste Management Facility, Bingara Road BUNDARRA</v>
      </c>
      <c r="U387" s="10" t="str">
        <f t="shared" si="347"/>
        <v>Kingstown Waste Management Facility, Sawmill Lane KINGSTOWN</v>
      </c>
      <c r="V387" s="10">
        <f t="shared" si="348"/>
        <v>0</v>
      </c>
      <c r="W387" s="10">
        <f t="shared" si="349"/>
        <v>0</v>
      </c>
      <c r="X387" s="10">
        <f t="shared" si="350"/>
        <v>0</v>
      </c>
      <c r="Y387" s="10">
        <f t="shared" si="351"/>
        <v>0</v>
      </c>
      <c r="Z387" s="10">
        <f t="shared" si="352"/>
        <v>0</v>
      </c>
      <c r="AA387" s="10">
        <f t="shared" si="353"/>
        <v>0</v>
      </c>
      <c r="AB387" s="10">
        <f t="shared" si="354"/>
        <v>0</v>
      </c>
      <c r="AC387" s="10">
        <f t="shared" si="355"/>
        <v>0</v>
      </c>
      <c r="AD387" s="10">
        <f t="shared" si="356"/>
        <v>0</v>
      </c>
      <c r="AE387" s="10">
        <f t="shared" si="357"/>
        <v>0</v>
      </c>
      <c r="AF387" s="10">
        <f t="shared" si="358"/>
        <v>0</v>
      </c>
      <c r="AG387" s="10">
        <f t="shared" si="359"/>
        <v>0</v>
      </c>
      <c r="AH387" s="10">
        <f t="shared" si="360"/>
        <v>0</v>
      </c>
      <c r="AI387" s="10">
        <f t="shared" si="361"/>
        <v>0</v>
      </c>
      <c r="AJ387" s="10">
        <f t="shared" si="362"/>
        <v>0</v>
      </c>
      <c r="AK387" s="10">
        <f t="shared" si="363"/>
        <v>0</v>
      </c>
      <c r="AL387" s="10">
        <f t="shared" si="364"/>
        <v>0</v>
      </c>
      <c r="AM387" s="10">
        <f t="shared" si="365"/>
        <v>0</v>
      </c>
      <c r="AN387" s="46">
        <f t="shared" si="366"/>
        <v>0</v>
      </c>
      <c r="AO387" s="10">
        <f t="shared" si="367"/>
        <v>0</v>
      </c>
      <c r="AP387" s="10">
        <f t="shared" si="368"/>
        <v>0</v>
      </c>
      <c r="AQ387" s="10">
        <f t="shared" si="369"/>
        <v>0</v>
      </c>
      <c r="AR387" s="10">
        <f t="shared" si="370"/>
        <v>0</v>
      </c>
      <c r="AS387" s="10">
        <f t="shared" si="371"/>
        <v>0</v>
      </c>
      <c r="AT387" s="10">
        <f t="shared" si="372"/>
        <v>0</v>
      </c>
      <c r="AU387" s="10">
        <f t="shared" si="373"/>
        <v>0</v>
      </c>
      <c r="AV387" s="10">
        <f t="shared" si="374"/>
        <v>0</v>
      </c>
      <c r="AW387" s="10">
        <f t="shared" si="375"/>
        <v>0</v>
      </c>
      <c r="AX387" s="10">
        <f t="shared" si="376"/>
        <v>0</v>
      </c>
    </row>
    <row r="388" spans="1:50" x14ac:dyDescent="0.2">
      <c r="A388" s="8">
        <v>17750</v>
      </c>
      <c r="B388" s="89" t="str">
        <f t="shared" si="328"/>
        <v>Wagga Wagga</v>
      </c>
      <c r="C388" s="9" t="str">
        <f t="shared" si="329"/>
        <v>REROC</v>
      </c>
      <c r="D388" s="51" t="str">
        <f t="shared" si="330"/>
        <v>N</v>
      </c>
      <c r="E388" s="10">
        <f t="shared" si="331"/>
        <v>0</v>
      </c>
      <c r="F388" s="10">
        <f t="shared" si="332"/>
        <v>65770</v>
      </c>
      <c r="G388" s="10">
        <f t="shared" si="333"/>
        <v>25631</v>
      </c>
      <c r="H388" s="10">
        <f t="shared" si="334"/>
        <v>2.5660333190277398</v>
      </c>
      <c r="I388" s="10">
        <f t="shared" si="335"/>
        <v>4824.5</v>
      </c>
      <c r="J388" s="10">
        <f t="shared" si="336"/>
        <v>13.6</v>
      </c>
      <c r="K388" s="10">
        <f t="shared" si="337"/>
        <v>369</v>
      </c>
      <c r="L388" s="10" t="str">
        <f t="shared" si="338"/>
        <v>Y</v>
      </c>
      <c r="M388" s="10">
        <f t="shared" si="339"/>
        <v>25631</v>
      </c>
      <c r="N388" s="10">
        <f t="shared" si="340"/>
        <v>25631</v>
      </c>
      <c r="O388" s="10">
        <f t="shared" si="341"/>
        <v>0</v>
      </c>
      <c r="P388" s="10">
        <f t="shared" si="342"/>
        <v>25631</v>
      </c>
      <c r="Q388" s="10">
        <f t="shared" si="343"/>
        <v>25631</v>
      </c>
      <c r="R388" s="10" t="str">
        <f t="shared" si="344"/>
        <v>Yes</v>
      </c>
      <c r="S388" s="10" t="str">
        <f t="shared" si="345"/>
        <v>Gregadoo Waste Management Centre</v>
      </c>
      <c r="T388" s="10" t="str">
        <f t="shared" si="346"/>
        <v>Transfer stations</v>
      </c>
      <c r="U388" s="10">
        <f t="shared" si="347"/>
        <v>0</v>
      </c>
      <c r="V388" s="10">
        <f t="shared" si="348"/>
        <v>0</v>
      </c>
      <c r="W388" s="10">
        <f t="shared" si="349"/>
        <v>0</v>
      </c>
      <c r="X388" s="10">
        <f t="shared" si="350"/>
        <v>0</v>
      </c>
      <c r="Y388" s="10">
        <f t="shared" si="351"/>
        <v>0</v>
      </c>
      <c r="Z388" s="10">
        <f t="shared" si="352"/>
        <v>0</v>
      </c>
      <c r="AA388" s="10">
        <f t="shared" si="353"/>
        <v>0</v>
      </c>
      <c r="AB388" s="10">
        <f t="shared" si="354"/>
        <v>0</v>
      </c>
      <c r="AC388" s="10">
        <f t="shared" si="355"/>
        <v>0</v>
      </c>
      <c r="AD388" s="10">
        <f t="shared" si="356"/>
        <v>0</v>
      </c>
      <c r="AE388" s="10">
        <f t="shared" si="357"/>
        <v>0</v>
      </c>
      <c r="AF388" s="10">
        <f t="shared" si="358"/>
        <v>0</v>
      </c>
      <c r="AG388" s="10">
        <f t="shared" si="359"/>
        <v>0</v>
      </c>
      <c r="AH388" s="10">
        <f t="shared" si="360"/>
        <v>0</v>
      </c>
      <c r="AI388" s="10">
        <f t="shared" si="361"/>
        <v>0</v>
      </c>
      <c r="AJ388" s="10">
        <f t="shared" si="362"/>
        <v>0</v>
      </c>
      <c r="AK388" s="10">
        <f t="shared" si="363"/>
        <v>0</v>
      </c>
      <c r="AL388" s="10">
        <f t="shared" si="364"/>
        <v>0</v>
      </c>
      <c r="AM388" s="10">
        <f t="shared" si="365"/>
        <v>0</v>
      </c>
      <c r="AN388" s="46">
        <f t="shared" si="366"/>
        <v>0</v>
      </c>
      <c r="AO388" s="10">
        <f t="shared" si="367"/>
        <v>0</v>
      </c>
      <c r="AP388" s="10">
        <f t="shared" si="368"/>
        <v>0</v>
      </c>
      <c r="AQ388" s="10">
        <f t="shared" si="369"/>
        <v>0</v>
      </c>
      <c r="AR388" s="10">
        <f t="shared" si="370"/>
        <v>0</v>
      </c>
      <c r="AS388" s="10">
        <f t="shared" si="371"/>
        <v>0</v>
      </c>
      <c r="AT388" s="10">
        <f t="shared" si="372"/>
        <v>0</v>
      </c>
      <c r="AU388" s="10">
        <f t="shared" si="373"/>
        <v>0</v>
      </c>
      <c r="AV388" s="10">
        <f t="shared" si="374"/>
        <v>0</v>
      </c>
      <c r="AW388" s="10">
        <f t="shared" si="375"/>
        <v>0</v>
      </c>
      <c r="AX388" s="10">
        <f t="shared" si="376"/>
        <v>0</v>
      </c>
    </row>
    <row r="389" spans="1:50" x14ac:dyDescent="0.2">
      <c r="A389" s="8">
        <v>17850</v>
      </c>
      <c r="B389" s="89" t="str">
        <f t="shared" si="328"/>
        <v>Walcha</v>
      </c>
      <c r="C389" s="9" t="str">
        <f t="shared" si="329"/>
        <v>NIRW</v>
      </c>
      <c r="D389" s="51" t="str">
        <f t="shared" si="330"/>
        <v>N</v>
      </c>
      <c r="E389" s="10" t="str">
        <f t="shared" si="331"/>
        <v>NJO</v>
      </c>
      <c r="F389" s="10">
        <f t="shared" si="332"/>
        <v>3105</v>
      </c>
      <c r="G389" s="10">
        <f t="shared" si="333"/>
        <v>1829</v>
      </c>
      <c r="H389" s="10">
        <f t="shared" si="334"/>
        <v>1.6976489885183159</v>
      </c>
      <c r="I389" s="10">
        <f t="shared" si="335"/>
        <v>6261</v>
      </c>
      <c r="J389" s="10">
        <f t="shared" si="336"/>
        <v>0.5</v>
      </c>
      <c r="K389" s="10">
        <f t="shared" si="337"/>
        <v>655</v>
      </c>
      <c r="L389" s="10" t="str">
        <f t="shared" si="338"/>
        <v>Y</v>
      </c>
      <c r="M389" s="10">
        <f t="shared" si="339"/>
        <v>781</v>
      </c>
      <c r="N389" s="10">
        <f t="shared" si="340"/>
        <v>763</v>
      </c>
      <c r="O389" s="10">
        <f t="shared" si="341"/>
        <v>763</v>
      </c>
      <c r="P389" s="10">
        <f t="shared" si="342"/>
        <v>0</v>
      </c>
      <c r="Q389" s="10">
        <f t="shared" si="343"/>
        <v>0</v>
      </c>
      <c r="R389" s="10" t="str">
        <f t="shared" si="344"/>
        <v>Yes</v>
      </c>
      <c r="S389" s="10">
        <f t="shared" si="345"/>
        <v>0</v>
      </c>
      <c r="T389" s="10">
        <f t="shared" si="346"/>
        <v>0</v>
      </c>
      <c r="U389" s="10">
        <f t="shared" si="347"/>
        <v>0</v>
      </c>
      <c r="V389" s="10">
        <f t="shared" si="348"/>
        <v>0</v>
      </c>
      <c r="W389" s="10">
        <f t="shared" si="349"/>
        <v>0</v>
      </c>
      <c r="X389" s="10">
        <f t="shared" si="350"/>
        <v>0</v>
      </c>
      <c r="Y389" s="10">
        <f t="shared" si="351"/>
        <v>0</v>
      </c>
      <c r="Z389" s="10">
        <f t="shared" si="352"/>
        <v>0</v>
      </c>
      <c r="AA389" s="10">
        <f t="shared" si="353"/>
        <v>0</v>
      </c>
      <c r="AB389" s="10">
        <f t="shared" si="354"/>
        <v>0</v>
      </c>
      <c r="AC389" s="10">
        <f t="shared" si="355"/>
        <v>0</v>
      </c>
      <c r="AD389" s="10">
        <f t="shared" si="356"/>
        <v>0</v>
      </c>
      <c r="AE389" s="10">
        <f t="shared" si="357"/>
        <v>0</v>
      </c>
      <c r="AF389" s="10">
        <f t="shared" si="358"/>
        <v>0</v>
      </c>
      <c r="AG389" s="10">
        <f t="shared" si="359"/>
        <v>0</v>
      </c>
      <c r="AH389" s="10">
        <f t="shared" si="360"/>
        <v>0</v>
      </c>
      <c r="AI389" s="10">
        <f t="shared" si="361"/>
        <v>0</v>
      </c>
      <c r="AJ389" s="10">
        <f t="shared" si="362"/>
        <v>0</v>
      </c>
      <c r="AK389" s="10">
        <f t="shared" si="363"/>
        <v>0</v>
      </c>
      <c r="AL389" s="10">
        <f t="shared" si="364"/>
        <v>0</v>
      </c>
      <c r="AM389" s="10">
        <f t="shared" si="365"/>
        <v>0</v>
      </c>
      <c r="AN389" s="46">
        <f t="shared" si="366"/>
        <v>0</v>
      </c>
      <c r="AO389" s="10">
        <f t="shared" si="367"/>
        <v>0</v>
      </c>
      <c r="AP389" s="10">
        <f t="shared" si="368"/>
        <v>0</v>
      </c>
      <c r="AQ389" s="10">
        <f t="shared" si="369"/>
        <v>0</v>
      </c>
      <c r="AR389" s="10">
        <f t="shared" si="370"/>
        <v>0</v>
      </c>
      <c r="AS389" s="10">
        <f t="shared" si="371"/>
        <v>0</v>
      </c>
      <c r="AT389" s="10">
        <f t="shared" si="372"/>
        <v>0</v>
      </c>
      <c r="AU389" s="10">
        <f t="shared" si="373"/>
        <v>0</v>
      </c>
      <c r="AV389" s="10">
        <f t="shared" si="374"/>
        <v>0</v>
      </c>
      <c r="AW389" s="10">
        <f t="shared" si="375"/>
        <v>0</v>
      </c>
      <c r="AX389" s="10">
        <f t="shared" si="376"/>
        <v>0</v>
      </c>
    </row>
    <row r="390" spans="1:50" x14ac:dyDescent="0.2">
      <c r="A390" s="8">
        <v>17900</v>
      </c>
      <c r="B390" s="89" t="str">
        <f t="shared" si="328"/>
        <v>Walgett</v>
      </c>
      <c r="C390" s="9" t="str">
        <f t="shared" si="329"/>
        <v>NetWaste</v>
      </c>
      <c r="D390" s="51" t="str">
        <f t="shared" si="330"/>
        <v>N</v>
      </c>
      <c r="E390" s="10" t="str">
        <f t="shared" si="331"/>
        <v>FNWJO</v>
      </c>
      <c r="F390" s="10">
        <f t="shared" si="332"/>
        <v>5828</v>
      </c>
      <c r="G390" s="10">
        <f t="shared" si="333"/>
        <v>4868</v>
      </c>
      <c r="H390" s="10">
        <f t="shared" si="334"/>
        <v>1.1972062448644207</v>
      </c>
      <c r="I390" s="10">
        <f t="shared" si="335"/>
        <v>22308.400000000001</v>
      </c>
      <c r="J390" s="10">
        <f t="shared" si="336"/>
        <v>0.3</v>
      </c>
      <c r="K390" s="10">
        <f t="shared" si="337"/>
        <v>535</v>
      </c>
      <c r="L390" s="10" t="str">
        <f t="shared" si="338"/>
        <v>Y</v>
      </c>
      <c r="M390" s="10">
        <f t="shared" si="339"/>
        <v>1533</v>
      </c>
      <c r="N390" s="10">
        <f t="shared" si="340"/>
        <v>0</v>
      </c>
      <c r="O390" s="10">
        <f t="shared" si="341"/>
        <v>0</v>
      </c>
      <c r="P390" s="10">
        <f t="shared" si="342"/>
        <v>0</v>
      </c>
      <c r="Q390" s="10">
        <f t="shared" si="343"/>
        <v>0</v>
      </c>
      <c r="R390" s="10" t="str">
        <f t="shared" si="344"/>
        <v>Yes</v>
      </c>
      <c r="S390" s="10" t="str">
        <f t="shared" si="345"/>
        <v>Walgett waste facility</v>
      </c>
      <c r="T390" s="10" t="str">
        <f t="shared" si="346"/>
        <v>Lightning Ridge waste facility</v>
      </c>
      <c r="U390" s="10" t="str">
        <f t="shared" si="347"/>
        <v>Rowena Waste facility</v>
      </c>
      <c r="V390" s="10" t="str">
        <f t="shared" si="348"/>
        <v>Burren junction waste facility</v>
      </c>
      <c r="W390" s="10" t="str">
        <f t="shared" si="349"/>
        <v>Come-by Chance waste facility</v>
      </c>
      <c r="X390" s="10" t="str">
        <f t="shared" si="350"/>
        <v>Collarenebri waste facility</v>
      </c>
      <c r="Y390" s="10" t="str">
        <f t="shared" si="351"/>
        <v>Carinda Waste facility</v>
      </c>
      <c r="Z390" s="10">
        <f t="shared" si="352"/>
        <v>0</v>
      </c>
      <c r="AA390" s="10">
        <f t="shared" si="353"/>
        <v>0</v>
      </c>
      <c r="AB390" s="10">
        <f t="shared" si="354"/>
        <v>0</v>
      </c>
      <c r="AC390" s="10">
        <f t="shared" si="355"/>
        <v>0</v>
      </c>
      <c r="AD390" s="10">
        <f t="shared" si="356"/>
        <v>0</v>
      </c>
      <c r="AE390" s="10">
        <f t="shared" si="357"/>
        <v>0</v>
      </c>
      <c r="AF390" s="10">
        <f t="shared" si="358"/>
        <v>0</v>
      </c>
      <c r="AG390" s="10">
        <f t="shared" si="359"/>
        <v>0</v>
      </c>
      <c r="AH390" s="10">
        <f t="shared" si="360"/>
        <v>0</v>
      </c>
      <c r="AI390" s="10">
        <f t="shared" si="361"/>
        <v>0</v>
      </c>
      <c r="AJ390" s="10">
        <f t="shared" si="362"/>
        <v>0</v>
      </c>
      <c r="AK390" s="10">
        <f t="shared" si="363"/>
        <v>0</v>
      </c>
      <c r="AL390" s="10">
        <f t="shared" si="364"/>
        <v>0</v>
      </c>
      <c r="AM390" s="10">
        <f t="shared" si="365"/>
        <v>0</v>
      </c>
      <c r="AN390" s="46">
        <f t="shared" si="366"/>
        <v>0</v>
      </c>
      <c r="AO390" s="10">
        <f t="shared" si="367"/>
        <v>0</v>
      </c>
      <c r="AP390" s="10">
        <f t="shared" si="368"/>
        <v>0</v>
      </c>
      <c r="AQ390" s="10">
        <f t="shared" si="369"/>
        <v>0</v>
      </c>
      <c r="AR390" s="10">
        <f t="shared" si="370"/>
        <v>0</v>
      </c>
      <c r="AS390" s="10">
        <f t="shared" si="371"/>
        <v>0</v>
      </c>
      <c r="AT390" s="10">
        <f t="shared" si="372"/>
        <v>0</v>
      </c>
      <c r="AU390" s="10">
        <f t="shared" si="373"/>
        <v>0</v>
      </c>
      <c r="AV390" s="10">
        <f t="shared" si="374"/>
        <v>0</v>
      </c>
      <c r="AW390" s="10">
        <f t="shared" si="375"/>
        <v>0</v>
      </c>
      <c r="AX390" s="10">
        <f t="shared" si="376"/>
        <v>0</v>
      </c>
    </row>
    <row r="391" spans="1:50" x14ac:dyDescent="0.2">
      <c r="A391" s="8">
        <v>17950</v>
      </c>
      <c r="B391" s="89" t="str">
        <f t="shared" si="328"/>
        <v>Warren</v>
      </c>
      <c r="C391" s="9" t="str">
        <f t="shared" si="329"/>
        <v>NetWaste</v>
      </c>
      <c r="D391" s="51" t="str">
        <f t="shared" si="330"/>
        <v>N</v>
      </c>
      <c r="E391" s="10" t="str">
        <f t="shared" si="331"/>
        <v>OJO</v>
      </c>
      <c r="F391" s="10">
        <f t="shared" si="332"/>
        <v>2716</v>
      </c>
      <c r="G391" s="10">
        <f t="shared" si="333"/>
        <v>2058</v>
      </c>
      <c r="H391" s="10">
        <f t="shared" si="334"/>
        <v>1.3197278911564625</v>
      </c>
      <c r="I391" s="10">
        <f t="shared" si="335"/>
        <v>10753.8</v>
      </c>
      <c r="J391" s="10">
        <f t="shared" si="336"/>
        <v>0.3</v>
      </c>
      <c r="K391" s="10">
        <f t="shared" si="337"/>
        <v>278</v>
      </c>
      <c r="L391" s="10" t="str">
        <f t="shared" si="338"/>
        <v>Y</v>
      </c>
      <c r="M391" s="10">
        <f t="shared" si="339"/>
        <v>950</v>
      </c>
      <c r="N391" s="10">
        <f t="shared" si="340"/>
        <v>0</v>
      </c>
      <c r="O391" s="10">
        <f t="shared" si="341"/>
        <v>0</v>
      </c>
      <c r="P391" s="10">
        <f t="shared" si="342"/>
        <v>0</v>
      </c>
      <c r="Q391" s="10">
        <f t="shared" si="343"/>
        <v>2058</v>
      </c>
      <c r="R391" s="10" t="str">
        <f t="shared" si="344"/>
        <v>Yes</v>
      </c>
      <c r="S391" s="10">
        <f t="shared" si="345"/>
        <v>0</v>
      </c>
      <c r="T391" s="10">
        <f t="shared" si="346"/>
        <v>0</v>
      </c>
      <c r="U391" s="10">
        <f t="shared" si="347"/>
        <v>0</v>
      </c>
      <c r="V391" s="10">
        <f t="shared" si="348"/>
        <v>0</v>
      </c>
      <c r="W391" s="10">
        <f t="shared" si="349"/>
        <v>0</v>
      </c>
      <c r="X391" s="10">
        <f t="shared" si="350"/>
        <v>0</v>
      </c>
      <c r="Y391" s="10">
        <f t="shared" si="351"/>
        <v>0</v>
      </c>
      <c r="Z391" s="10">
        <f t="shared" si="352"/>
        <v>0</v>
      </c>
      <c r="AA391" s="10">
        <f t="shared" si="353"/>
        <v>0</v>
      </c>
      <c r="AB391" s="10">
        <f t="shared" si="354"/>
        <v>0</v>
      </c>
      <c r="AC391" s="10">
        <f t="shared" si="355"/>
        <v>0</v>
      </c>
      <c r="AD391" s="10">
        <f t="shared" si="356"/>
        <v>0</v>
      </c>
      <c r="AE391" s="10">
        <f t="shared" si="357"/>
        <v>0</v>
      </c>
      <c r="AF391" s="10">
        <f t="shared" si="358"/>
        <v>0</v>
      </c>
      <c r="AG391" s="10">
        <f t="shared" si="359"/>
        <v>0</v>
      </c>
      <c r="AH391" s="10">
        <f t="shared" si="360"/>
        <v>0</v>
      </c>
      <c r="AI391" s="10">
        <f t="shared" si="361"/>
        <v>0</v>
      </c>
      <c r="AJ391" s="10">
        <f t="shared" si="362"/>
        <v>0</v>
      </c>
      <c r="AK391" s="10">
        <f t="shared" si="363"/>
        <v>0</v>
      </c>
      <c r="AL391" s="10">
        <f t="shared" si="364"/>
        <v>0</v>
      </c>
      <c r="AM391" s="10">
        <f t="shared" si="365"/>
        <v>0</v>
      </c>
      <c r="AN391" s="46">
        <f t="shared" si="366"/>
        <v>0</v>
      </c>
      <c r="AO391" s="10">
        <f t="shared" si="367"/>
        <v>0</v>
      </c>
      <c r="AP391" s="10">
        <f t="shared" si="368"/>
        <v>0</v>
      </c>
      <c r="AQ391" s="10">
        <f t="shared" si="369"/>
        <v>0</v>
      </c>
      <c r="AR391" s="10">
        <f t="shared" si="370"/>
        <v>0</v>
      </c>
      <c r="AS391" s="10">
        <f t="shared" si="371"/>
        <v>0</v>
      </c>
      <c r="AT391" s="10">
        <f t="shared" si="372"/>
        <v>0</v>
      </c>
      <c r="AU391" s="10">
        <f t="shared" si="373"/>
        <v>0</v>
      </c>
      <c r="AV391" s="10">
        <f t="shared" si="374"/>
        <v>0</v>
      </c>
      <c r="AW391" s="10">
        <f t="shared" si="375"/>
        <v>0</v>
      </c>
      <c r="AX391" s="10">
        <f t="shared" si="376"/>
        <v>0</v>
      </c>
    </row>
    <row r="392" spans="1:50" x14ac:dyDescent="0.2">
      <c r="A392" s="8">
        <v>18020</v>
      </c>
      <c r="B392" s="89" t="str">
        <f t="shared" si="328"/>
        <v>Warrumbungle Shire</v>
      </c>
      <c r="C392" s="9" t="str">
        <f t="shared" si="329"/>
        <v>NetWaste</v>
      </c>
      <c r="D392" s="51" t="str">
        <f t="shared" si="330"/>
        <v>N</v>
      </c>
      <c r="E392" s="10" t="str">
        <f t="shared" si="331"/>
        <v>OJO</v>
      </c>
      <c r="F392" s="10">
        <f t="shared" si="332"/>
        <v>9209</v>
      </c>
      <c r="G392" s="10">
        <f t="shared" si="333"/>
        <v>6361</v>
      </c>
      <c r="H392" s="10">
        <f t="shared" si="334"/>
        <v>1.4477283445999056</v>
      </c>
      <c r="I392" s="10">
        <f t="shared" si="335"/>
        <v>12372.1</v>
      </c>
      <c r="J392" s="10">
        <f t="shared" si="336"/>
        <v>0.7</v>
      </c>
      <c r="K392" s="10">
        <f t="shared" si="337"/>
        <v>379</v>
      </c>
      <c r="L392" s="10" t="str">
        <f t="shared" si="338"/>
        <v>Y</v>
      </c>
      <c r="M392" s="10">
        <f t="shared" si="339"/>
        <v>5805</v>
      </c>
      <c r="N392" s="10">
        <f t="shared" si="340"/>
        <v>5805</v>
      </c>
      <c r="O392" s="10">
        <f t="shared" si="341"/>
        <v>0</v>
      </c>
      <c r="P392" s="10">
        <f t="shared" si="342"/>
        <v>0</v>
      </c>
      <c r="Q392" s="10">
        <f t="shared" si="343"/>
        <v>0</v>
      </c>
      <c r="R392" s="10" t="str">
        <f t="shared" si="344"/>
        <v>Yes</v>
      </c>
      <c r="S392" s="10" t="str">
        <f t="shared" si="345"/>
        <v>Warrumbungle Shire Council</v>
      </c>
      <c r="T392" s="10">
        <f t="shared" si="346"/>
        <v>0</v>
      </c>
      <c r="U392" s="10">
        <f t="shared" si="347"/>
        <v>0</v>
      </c>
      <c r="V392" s="10">
        <f t="shared" si="348"/>
        <v>0</v>
      </c>
      <c r="W392" s="10">
        <f t="shared" si="349"/>
        <v>0</v>
      </c>
      <c r="X392" s="10">
        <f t="shared" si="350"/>
        <v>0</v>
      </c>
      <c r="Y392" s="10">
        <f t="shared" si="351"/>
        <v>0</v>
      </c>
      <c r="Z392" s="10">
        <f t="shared" si="352"/>
        <v>0</v>
      </c>
      <c r="AA392" s="10">
        <f t="shared" si="353"/>
        <v>0</v>
      </c>
      <c r="AB392" s="10">
        <f t="shared" si="354"/>
        <v>0</v>
      </c>
      <c r="AC392" s="10">
        <f t="shared" si="355"/>
        <v>0</v>
      </c>
      <c r="AD392" s="10">
        <f t="shared" si="356"/>
        <v>0</v>
      </c>
      <c r="AE392" s="10">
        <f t="shared" si="357"/>
        <v>0</v>
      </c>
      <c r="AF392" s="10">
        <f t="shared" si="358"/>
        <v>0</v>
      </c>
      <c r="AG392" s="10">
        <f t="shared" si="359"/>
        <v>0</v>
      </c>
      <c r="AH392" s="10">
        <f t="shared" si="360"/>
        <v>0</v>
      </c>
      <c r="AI392" s="10">
        <f t="shared" si="361"/>
        <v>0</v>
      </c>
      <c r="AJ392" s="10">
        <f t="shared" si="362"/>
        <v>0</v>
      </c>
      <c r="AK392" s="10">
        <f t="shared" si="363"/>
        <v>0</v>
      </c>
      <c r="AL392" s="10">
        <f t="shared" si="364"/>
        <v>0</v>
      </c>
      <c r="AM392" s="10">
        <f t="shared" si="365"/>
        <v>0</v>
      </c>
      <c r="AN392" s="46">
        <f t="shared" si="366"/>
        <v>0</v>
      </c>
      <c r="AO392" s="10">
        <f t="shared" si="367"/>
        <v>0</v>
      </c>
      <c r="AP392" s="10">
        <f t="shared" si="368"/>
        <v>0</v>
      </c>
      <c r="AQ392" s="10">
        <f t="shared" si="369"/>
        <v>0</v>
      </c>
      <c r="AR392" s="10">
        <f t="shared" si="370"/>
        <v>0</v>
      </c>
      <c r="AS392" s="10">
        <f t="shared" si="371"/>
        <v>0</v>
      </c>
      <c r="AT392" s="10">
        <f t="shared" si="372"/>
        <v>0</v>
      </c>
      <c r="AU392" s="10">
        <f t="shared" si="373"/>
        <v>0</v>
      </c>
      <c r="AV392" s="10">
        <f t="shared" si="374"/>
        <v>0</v>
      </c>
      <c r="AW392" s="10">
        <f t="shared" si="375"/>
        <v>0</v>
      </c>
      <c r="AX392" s="10">
        <f t="shared" si="376"/>
        <v>0</v>
      </c>
    </row>
    <row r="393" spans="1:50" x14ac:dyDescent="0.2">
      <c r="A393" s="8">
        <v>18100</v>
      </c>
      <c r="B393" s="89" t="str">
        <f t="shared" si="328"/>
        <v>Weddin</v>
      </c>
      <c r="C393" s="9" t="str">
        <f t="shared" si="329"/>
        <v>NetWaste</v>
      </c>
      <c r="D393" s="51" t="str">
        <f t="shared" si="330"/>
        <v>N</v>
      </c>
      <c r="E393" s="10" t="str">
        <f t="shared" si="331"/>
        <v>CNJO</v>
      </c>
      <c r="F393" s="10">
        <f t="shared" si="332"/>
        <v>3596</v>
      </c>
      <c r="G393" s="10">
        <f t="shared" si="333"/>
        <v>2606</v>
      </c>
      <c r="H393" s="10">
        <f t="shared" si="334"/>
        <v>1.3798925556408288</v>
      </c>
      <c r="I393" s="10">
        <f t="shared" si="335"/>
        <v>3414.9</v>
      </c>
      <c r="J393" s="10">
        <f t="shared" si="336"/>
        <v>1.1000000000000001</v>
      </c>
      <c r="K393" s="10">
        <f t="shared" si="337"/>
        <v>310</v>
      </c>
      <c r="L393" s="10" t="str">
        <f t="shared" si="338"/>
        <v>Y</v>
      </c>
      <c r="M393" s="10">
        <f t="shared" si="339"/>
        <v>1142</v>
      </c>
      <c r="N393" s="10">
        <f t="shared" si="340"/>
        <v>1046</v>
      </c>
      <c r="O393" s="10">
        <f t="shared" si="341"/>
        <v>0</v>
      </c>
      <c r="P393" s="10">
        <f t="shared" si="342"/>
        <v>0</v>
      </c>
      <c r="Q393" s="10">
        <f t="shared" si="343"/>
        <v>0</v>
      </c>
      <c r="R393" s="10" t="str">
        <f t="shared" si="344"/>
        <v>Yes</v>
      </c>
      <c r="S393" s="10" t="str">
        <f t="shared" si="345"/>
        <v>Grenfell Landfill</v>
      </c>
      <c r="T393" s="10" t="str">
        <f t="shared" si="346"/>
        <v>Quandialla Landfill</v>
      </c>
      <c r="U393" s="10" t="str">
        <f t="shared" si="347"/>
        <v>Caragabal Landfill</v>
      </c>
      <c r="V393" s="10">
        <f t="shared" si="348"/>
        <v>0</v>
      </c>
      <c r="W393" s="10">
        <f t="shared" si="349"/>
        <v>0</v>
      </c>
      <c r="X393" s="10">
        <f t="shared" si="350"/>
        <v>0</v>
      </c>
      <c r="Y393" s="10">
        <f t="shared" si="351"/>
        <v>0</v>
      </c>
      <c r="Z393" s="10">
        <f t="shared" si="352"/>
        <v>0</v>
      </c>
      <c r="AA393" s="10">
        <f t="shared" si="353"/>
        <v>0</v>
      </c>
      <c r="AB393" s="10">
        <f t="shared" si="354"/>
        <v>0</v>
      </c>
      <c r="AC393" s="10">
        <f t="shared" si="355"/>
        <v>0</v>
      </c>
      <c r="AD393" s="10">
        <f t="shared" si="356"/>
        <v>0</v>
      </c>
      <c r="AE393" s="10">
        <f t="shared" si="357"/>
        <v>0</v>
      </c>
      <c r="AF393" s="10">
        <f t="shared" si="358"/>
        <v>0</v>
      </c>
      <c r="AG393" s="10">
        <f t="shared" si="359"/>
        <v>0</v>
      </c>
      <c r="AH393" s="10">
        <f t="shared" si="360"/>
        <v>0</v>
      </c>
      <c r="AI393" s="10">
        <f t="shared" si="361"/>
        <v>0</v>
      </c>
      <c r="AJ393" s="10">
        <f t="shared" si="362"/>
        <v>0</v>
      </c>
      <c r="AK393" s="10">
        <f t="shared" si="363"/>
        <v>0</v>
      </c>
      <c r="AL393" s="10">
        <f t="shared" si="364"/>
        <v>0</v>
      </c>
      <c r="AM393" s="10">
        <f t="shared" si="365"/>
        <v>0</v>
      </c>
      <c r="AN393" s="46">
        <f t="shared" si="366"/>
        <v>0</v>
      </c>
      <c r="AO393" s="10">
        <f t="shared" si="367"/>
        <v>0</v>
      </c>
      <c r="AP393" s="10">
        <f t="shared" si="368"/>
        <v>0</v>
      </c>
      <c r="AQ393" s="10">
        <f t="shared" si="369"/>
        <v>0</v>
      </c>
      <c r="AR393" s="10">
        <f t="shared" si="370"/>
        <v>0</v>
      </c>
      <c r="AS393" s="10">
        <f t="shared" si="371"/>
        <v>0</v>
      </c>
      <c r="AT393" s="10">
        <f t="shared" si="372"/>
        <v>0</v>
      </c>
      <c r="AU393" s="10">
        <f t="shared" si="373"/>
        <v>0</v>
      </c>
      <c r="AV393" s="10">
        <f t="shared" si="374"/>
        <v>0</v>
      </c>
      <c r="AW393" s="10">
        <f t="shared" si="375"/>
        <v>0</v>
      </c>
      <c r="AX393" s="10">
        <f t="shared" si="376"/>
        <v>0</v>
      </c>
    </row>
    <row r="394" spans="1:50" x14ac:dyDescent="0.2">
      <c r="A394" s="8">
        <v>18200</v>
      </c>
      <c r="B394" s="89" t="str">
        <f t="shared" si="328"/>
        <v>Wentworth</v>
      </c>
      <c r="C394" s="9" t="str">
        <f t="shared" si="329"/>
        <v>RAMJO Murray</v>
      </c>
      <c r="D394" s="51" t="str">
        <f t="shared" si="330"/>
        <v>N</v>
      </c>
      <c r="E394" s="10" t="str">
        <f t="shared" si="331"/>
        <v>FSWJO</v>
      </c>
      <c r="F394" s="10">
        <f t="shared" si="332"/>
        <v>7090</v>
      </c>
      <c r="G394" s="10">
        <f t="shared" si="333"/>
        <v>2913</v>
      </c>
      <c r="H394" s="10">
        <f t="shared" si="334"/>
        <v>2.4339169241331962</v>
      </c>
      <c r="I394" s="10">
        <f t="shared" si="335"/>
        <v>26256.2</v>
      </c>
      <c r="J394" s="10">
        <f t="shared" si="336"/>
        <v>0.3</v>
      </c>
      <c r="K394" s="10">
        <f t="shared" si="337"/>
        <v>295</v>
      </c>
      <c r="L394" s="10" t="str">
        <f t="shared" si="338"/>
        <v>Y</v>
      </c>
      <c r="M394" s="10">
        <f t="shared" si="339"/>
        <v>2530</v>
      </c>
      <c r="N394" s="10">
        <f t="shared" si="340"/>
        <v>0</v>
      </c>
      <c r="O394" s="10">
        <f t="shared" si="341"/>
        <v>0</v>
      </c>
      <c r="P394" s="10">
        <f t="shared" si="342"/>
        <v>0</v>
      </c>
      <c r="Q394" s="10">
        <f t="shared" si="343"/>
        <v>2913</v>
      </c>
      <c r="R394" s="10" t="str">
        <f t="shared" si="344"/>
        <v>Yes</v>
      </c>
      <c r="S394" s="10">
        <f t="shared" si="345"/>
        <v>0</v>
      </c>
      <c r="T394" s="10">
        <f t="shared" si="346"/>
        <v>0</v>
      </c>
      <c r="U394" s="10">
        <f t="shared" si="347"/>
        <v>0</v>
      </c>
      <c r="V394" s="10">
        <f t="shared" si="348"/>
        <v>0</v>
      </c>
      <c r="W394" s="10">
        <f t="shared" si="349"/>
        <v>0</v>
      </c>
      <c r="X394" s="10">
        <f t="shared" si="350"/>
        <v>0</v>
      </c>
      <c r="Y394" s="10">
        <f t="shared" si="351"/>
        <v>0</v>
      </c>
      <c r="Z394" s="10">
        <f t="shared" si="352"/>
        <v>0</v>
      </c>
      <c r="AA394" s="10">
        <f t="shared" si="353"/>
        <v>0</v>
      </c>
      <c r="AB394" s="10">
        <f t="shared" si="354"/>
        <v>0</v>
      </c>
      <c r="AC394" s="10">
        <f t="shared" si="355"/>
        <v>0</v>
      </c>
      <c r="AD394" s="10">
        <f t="shared" si="356"/>
        <v>0</v>
      </c>
      <c r="AE394" s="10">
        <f t="shared" si="357"/>
        <v>0</v>
      </c>
      <c r="AF394" s="10">
        <f t="shared" si="358"/>
        <v>0</v>
      </c>
      <c r="AG394" s="10">
        <f t="shared" si="359"/>
        <v>0</v>
      </c>
      <c r="AH394" s="10">
        <f t="shared" si="360"/>
        <v>0</v>
      </c>
      <c r="AI394" s="10">
        <f t="shared" si="361"/>
        <v>0</v>
      </c>
      <c r="AJ394" s="10">
        <f t="shared" si="362"/>
        <v>0</v>
      </c>
      <c r="AK394" s="10">
        <f t="shared" si="363"/>
        <v>0</v>
      </c>
      <c r="AL394" s="10">
        <f t="shared" si="364"/>
        <v>0</v>
      </c>
      <c r="AM394" s="10">
        <f t="shared" si="365"/>
        <v>0</v>
      </c>
      <c r="AN394" s="46">
        <f t="shared" si="366"/>
        <v>0</v>
      </c>
      <c r="AO394" s="10">
        <f t="shared" si="367"/>
        <v>0</v>
      </c>
      <c r="AP394" s="10">
        <f t="shared" si="368"/>
        <v>0</v>
      </c>
      <c r="AQ394" s="10">
        <f t="shared" si="369"/>
        <v>0</v>
      </c>
      <c r="AR394" s="10">
        <f t="shared" si="370"/>
        <v>0</v>
      </c>
      <c r="AS394" s="10">
        <f t="shared" si="371"/>
        <v>0</v>
      </c>
      <c r="AT394" s="10">
        <f t="shared" si="372"/>
        <v>0</v>
      </c>
      <c r="AU394" s="10">
        <f t="shared" si="373"/>
        <v>0</v>
      </c>
      <c r="AV394" s="10">
        <f t="shared" si="374"/>
        <v>0</v>
      </c>
      <c r="AW394" s="10">
        <f t="shared" si="375"/>
        <v>0</v>
      </c>
      <c r="AX394" s="10">
        <f t="shared" si="376"/>
        <v>0</v>
      </c>
    </row>
    <row r="395" spans="1:50" x14ac:dyDescent="0.2">
      <c r="A395" s="8">
        <v>18400</v>
      </c>
      <c r="B395" s="89" t="str">
        <f t="shared" si="328"/>
        <v>Wollondilly</v>
      </c>
      <c r="C395" s="9" t="str">
        <f t="shared" si="329"/>
        <v>MSWA</v>
      </c>
      <c r="D395" s="51" t="str">
        <f t="shared" si="330"/>
        <v>R</v>
      </c>
      <c r="E395" s="10">
        <f t="shared" si="331"/>
        <v>0</v>
      </c>
      <c r="F395" s="10">
        <f t="shared" si="332"/>
        <v>54005</v>
      </c>
      <c r="G395" s="10">
        <f t="shared" si="333"/>
        <v>20909</v>
      </c>
      <c r="H395" s="10">
        <f t="shared" si="334"/>
        <v>2.5828590559089388</v>
      </c>
      <c r="I395" s="10">
        <f t="shared" si="335"/>
        <v>2555.4</v>
      </c>
      <c r="J395" s="10">
        <f t="shared" si="336"/>
        <v>21.1</v>
      </c>
      <c r="K395" s="10">
        <f t="shared" si="337"/>
        <v>572.9</v>
      </c>
      <c r="L395" s="10" t="str">
        <f t="shared" si="338"/>
        <v>Y</v>
      </c>
      <c r="M395" s="10">
        <f t="shared" si="339"/>
        <v>18960.010000000002</v>
      </c>
      <c r="N395" s="10">
        <f t="shared" si="340"/>
        <v>14307</v>
      </c>
      <c r="O395" s="10">
        <f t="shared" si="341"/>
        <v>11165</v>
      </c>
      <c r="P395" s="10">
        <f t="shared" si="342"/>
        <v>0</v>
      </c>
      <c r="Q395" s="10">
        <f t="shared" si="343"/>
        <v>20909</v>
      </c>
      <c r="R395" s="10" t="str">
        <f t="shared" si="344"/>
        <v>Yes</v>
      </c>
      <c r="S395" s="10" t="str">
        <f t="shared" si="345"/>
        <v>Bargo Waste Management Centre, Anthony Road Bargo</v>
      </c>
      <c r="T395" s="10">
        <f t="shared" si="346"/>
        <v>0</v>
      </c>
      <c r="U395" s="10">
        <f t="shared" si="347"/>
        <v>0</v>
      </c>
      <c r="V395" s="10">
        <f t="shared" si="348"/>
        <v>0</v>
      </c>
      <c r="W395" s="10">
        <f t="shared" si="349"/>
        <v>0</v>
      </c>
      <c r="X395" s="10">
        <f t="shared" si="350"/>
        <v>0</v>
      </c>
      <c r="Y395" s="10">
        <f t="shared" si="351"/>
        <v>0</v>
      </c>
      <c r="Z395" s="10">
        <f t="shared" si="352"/>
        <v>0</v>
      </c>
      <c r="AA395" s="10">
        <f t="shared" si="353"/>
        <v>0</v>
      </c>
      <c r="AB395" s="10">
        <f t="shared" si="354"/>
        <v>0</v>
      </c>
      <c r="AC395" s="10">
        <f t="shared" si="355"/>
        <v>0</v>
      </c>
      <c r="AD395" s="10">
        <f t="shared" si="356"/>
        <v>0</v>
      </c>
      <c r="AE395" s="10">
        <f t="shared" si="357"/>
        <v>0</v>
      </c>
      <c r="AF395" s="10">
        <f t="shared" si="358"/>
        <v>0</v>
      </c>
      <c r="AG395" s="10">
        <f t="shared" si="359"/>
        <v>0</v>
      </c>
      <c r="AH395" s="10">
        <f t="shared" si="360"/>
        <v>0</v>
      </c>
      <c r="AI395" s="10">
        <f t="shared" si="361"/>
        <v>0</v>
      </c>
      <c r="AJ395" s="10">
        <f t="shared" si="362"/>
        <v>0</v>
      </c>
      <c r="AK395" s="10">
        <f t="shared" si="363"/>
        <v>0</v>
      </c>
      <c r="AL395" s="10">
        <f t="shared" si="364"/>
        <v>0</v>
      </c>
      <c r="AM395" s="10">
        <f t="shared" si="365"/>
        <v>0</v>
      </c>
      <c r="AN395" s="46">
        <f t="shared" si="366"/>
        <v>0</v>
      </c>
      <c r="AO395" s="10">
        <f t="shared" si="367"/>
        <v>0</v>
      </c>
      <c r="AP395" s="10">
        <f t="shared" si="368"/>
        <v>0</v>
      </c>
      <c r="AQ395" s="10">
        <f t="shared" si="369"/>
        <v>0</v>
      </c>
      <c r="AR395" s="10">
        <f t="shared" si="370"/>
        <v>0</v>
      </c>
      <c r="AS395" s="10">
        <f t="shared" si="371"/>
        <v>0</v>
      </c>
      <c r="AT395" s="10">
        <f t="shared" si="372"/>
        <v>0</v>
      </c>
      <c r="AU395" s="10">
        <f t="shared" si="373"/>
        <v>0</v>
      </c>
      <c r="AV395" s="10">
        <f t="shared" si="374"/>
        <v>0</v>
      </c>
      <c r="AW395" s="10">
        <f t="shared" si="375"/>
        <v>0</v>
      </c>
      <c r="AX395" s="10">
        <f t="shared" si="376"/>
        <v>0</v>
      </c>
    </row>
    <row r="396" spans="1:50" ht="13.5" thickBot="1" x14ac:dyDescent="0.25">
      <c r="A396" s="8">
        <v>18710</v>
      </c>
      <c r="B396" s="89" t="str">
        <f t="shared" si="328"/>
        <v>Yass Valley</v>
      </c>
      <c r="C396" s="9" t="str">
        <f t="shared" si="329"/>
        <v>CRJO</v>
      </c>
      <c r="D396" s="51" t="str">
        <f t="shared" si="330"/>
        <v>N</v>
      </c>
      <c r="E396" s="10" t="str">
        <f t="shared" si="331"/>
        <v>CRJO</v>
      </c>
      <c r="F396" s="10">
        <f t="shared" si="332"/>
        <v>17321</v>
      </c>
      <c r="G396" s="10">
        <f t="shared" si="333"/>
        <v>7781</v>
      </c>
      <c r="H396" s="10">
        <f t="shared" si="334"/>
        <v>2.2260634879835495</v>
      </c>
      <c r="I396" s="10">
        <f t="shared" si="335"/>
        <v>3995.3</v>
      </c>
      <c r="J396" s="10">
        <f t="shared" si="336"/>
        <v>4.3</v>
      </c>
      <c r="K396" s="10">
        <f t="shared" si="337"/>
        <v>407</v>
      </c>
      <c r="L396" s="10" t="str">
        <f t="shared" si="338"/>
        <v>Y</v>
      </c>
      <c r="M396" s="10">
        <f t="shared" si="339"/>
        <v>4589</v>
      </c>
      <c r="N396" s="10">
        <f t="shared" si="340"/>
        <v>4599</v>
      </c>
      <c r="O396" s="10">
        <f t="shared" si="341"/>
        <v>0</v>
      </c>
      <c r="P396" s="10">
        <f t="shared" si="342"/>
        <v>0</v>
      </c>
      <c r="Q396" s="10">
        <f t="shared" si="343"/>
        <v>0</v>
      </c>
      <c r="R396" s="10" t="str">
        <f t="shared" si="344"/>
        <v>Yes</v>
      </c>
      <c r="S396" s="10" t="str">
        <f t="shared" si="345"/>
        <v>Yass transferstation</v>
      </c>
      <c r="T396" s="10" t="str">
        <f t="shared" si="346"/>
        <v>Murrumbateman Transfer station</v>
      </c>
      <c r="U396" s="10" t="str">
        <f t="shared" si="347"/>
        <v>Binalong transfer station</v>
      </c>
      <c r="V396" s="10" t="str">
        <f t="shared" si="348"/>
        <v>Gundaroo transfer station</v>
      </c>
      <c r="W396" s="10" t="str">
        <f t="shared" si="349"/>
        <v>Bookham transfer station</v>
      </c>
      <c r="X396" s="10" t="str">
        <f t="shared" si="350"/>
        <v>bowning transfer station</v>
      </c>
      <c r="Y396" s="10">
        <f t="shared" si="351"/>
        <v>0</v>
      </c>
      <c r="Z396" s="10">
        <f t="shared" si="352"/>
        <v>0</v>
      </c>
      <c r="AA396" s="10">
        <f t="shared" si="353"/>
        <v>0</v>
      </c>
      <c r="AB396" s="10">
        <f t="shared" si="354"/>
        <v>0</v>
      </c>
      <c r="AC396" s="10">
        <f t="shared" si="355"/>
        <v>0</v>
      </c>
      <c r="AD396" s="10">
        <f t="shared" si="356"/>
        <v>0</v>
      </c>
      <c r="AE396" s="10">
        <f t="shared" si="357"/>
        <v>0</v>
      </c>
      <c r="AF396" s="10">
        <f t="shared" si="358"/>
        <v>0</v>
      </c>
      <c r="AG396" s="10">
        <f t="shared" si="359"/>
        <v>0</v>
      </c>
      <c r="AH396" s="10">
        <f t="shared" si="360"/>
        <v>0</v>
      </c>
      <c r="AI396" s="10">
        <f t="shared" si="361"/>
        <v>0</v>
      </c>
      <c r="AJ396" s="10">
        <f t="shared" si="362"/>
        <v>0</v>
      </c>
      <c r="AK396" s="10">
        <f t="shared" si="363"/>
        <v>0</v>
      </c>
      <c r="AL396" s="10">
        <f t="shared" si="364"/>
        <v>0</v>
      </c>
      <c r="AM396" s="10">
        <f t="shared" si="365"/>
        <v>0</v>
      </c>
      <c r="AN396" s="46">
        <f t="shared" si="366"/>
        <v>0</v>
      </c>
      <c r="AO396" s="10">
        <f t="shared" si="367"/>
        <v>0</v>
      </c>
      <c r="AP396" s="10">
        <f t="shared" si="368"/>
        <v>0</v>
      </c>
      <c r="AQ396" s="10">
        <f t="shared" si="369"/>
        <v>0</v>
      </c>
      <c r="AR396" s="10">
        <f t="shared" si="370"/>
        <v>0</v>
      </c>
      <c r="AS396" s="10">
        <f t="shared" si="371"/>
        <v>0</v>
      </c>
      <c r="AT396" s="10">
        <f t="shared" si="372"/>
        <v>0</v>
      </c>
      <c r="AU396" s="10">
        <f t="shared" si="373"/>
        <v>0</v>
      </c>
      <c r="AV396" s="10">
        <f t="shared" si="374"/>
        <v>0</v>
      </c>
      <c r="AW396" s="10">
        <f t="shared" si="375"/>
        <v>0</v>
      </c>
      <c r="AX396" s="10">
        <f t="shared" si="376"/>
        <v>0</v>
      </c>
    </row>
    <row r="397" spans="1:50" ht="13.5" thickTop="1" x14ac:dyDescent="0.2">
      <c r="A397" s="11"/>
      <c r="B397" s="11"/>
      <c r="C397" s="11" t="s">
        <v>30</v>
      </c>
      <c r="D397" s="11"/>
      <c r="E397" s="12"/>
      <c r="F397" s="13">
        <f t="shared" ref="F397:AX397" si="377">COUNTIF(F311:F396,"&gt;0")</f>
        <v>86</v>
      </c>
      <c r="G397" s="13">
        <f t="shared" si="377"/>
        <v>86</v>
      </c>
      <c r="H397" s="13">
        <f t="shared" si="377"/>
        <v>86</v>
      </c>
      <c r="I397" s="13">
        <f t="shared" si="377"/>
        <v>86</v>
      </c>
      <c r="J397" s="13">
        <f t="shared" si="377"/>
        <v>85</v>
      </c>
      <c r="K397" s="13">
        <f t="shared" si="377"/>
        <v>86</v>
      </c>
      <c r="L397" s="13">
        <f t="shared" si="377"/>
        <v>0</v>
      </c>
      <c r="M397" s="13">
        <f t="shared" si="377"/>
        <v>86</v>
      </c>
      <c r="N397" s="13">
        <f t="shared" si="377"/>
        <v>70</v>
      </c>
      <c r="O397" s="13">
        <f t="shared" si="377"/>
        <v>16</v>
      </c>
      <c r="P397" s="13">
        <f t="shared" si="377"/>
        <v>34</v>
      </c>
      <c r="Q397" s="13">
        <f t="shared" si="377"/>
        <v>41</v>
      </c>
      <c r="R397" s="13">
        <f t="shared" si="377"/>
        <v>0</v>
      </c>
      <c r="S397" s="13">
        <f t="shared" si="377"/>
        <v>0</v>
      </c>
      <c r="T397" s="13">
        <f t="shared" si="377"/>
        <v>0</v>
      </c>
      <c r="U397" s="13">
        <f t="shared" si="377"/>
        <v>0</v>
      </c>
      <c r="V397" s="13">
        <f t="shared" si="377"/>
        <v>0</v>
      </c>
      <c r="W397" s="13">
        <f t="shared" si="377"/>
        <v>0</v>
      </c>
      <c r="X397" s="13">
        <f t="shared" si="377"/>
        <v>0</v>
      </c>
      <c r="Y397" s="13">
        <f t="shared" si="377"/>
        <v>0</v>
      </c>
      <c r="Z397" s="13">
        <f t="shared" si="377"/>
        <v>0</v>
      </c>
      <c r="AA397" s="13">
        <f t="shared" si="377"/>
        <v>0</v>
      </c>
      <c r="AB397" s="13">
        <f t="shared" si="377"/>
        <v>0</v>
      </c>
      <c r="AC397" s="13">
        <f t="shared" si="377"/>
        <v>0</v>
      </c>
      <c r="AD397" s="13">
        <f t="shared" si="377"/>
        <v>0</v>
      </c>
      <c r="AE397" s="13">
        <f t="shared" si="377"/>
        <v>0</v>
      </c>
      <c r="AF397" s="13">
        <f t="shared" si="377"/>
        <v>0</v>
      </c>
      <c r="AG397" s="13">
        <f t="shared" si="377"/>
        <v>0</v>
      </c>
      <c r="AH397" s="13">
        <f t="shared" si="377"/>
        <v>0</v>
      </c>
      <c r="AI397" s="13">
        <f t="shared" si="377"/>
        <v>0</v>
      </c>
      <c r="AJ397" s="13">
        <f t="shared" si="377"/>
        <v>0</v>
      </c>
      <c r="AK397" s="13">
        <f t="shared" si="377"/>
        <v>0</v>
      </c>
      <c r="AL397" s="13">
        <f t="shared" si="377"/>
        <v>0</v>
      </c>
      <c r="AM397" s="44">
        <f t="shared" si="377"/>
        <v>0</v>
      </c>
      <c r="AN397" s="13">
        <f t="shared" si="377"/>
        <v>0</v>
      </c>
      <c r="AO397" s="13">
        <f t="shared" si="377"/>
        <v>0</v>
      </c>
      <c r="AP397" s="13">
        <f t="shared" si="377"/>
        <v>0</v>
      </c>
      <c r="AQ397" s="13">
        <f t="shared" si="377"/>
        <v>0</v>
      </c>
      <c r="AR397" s="13">
        <f t="shared" si="377"/>
        <v>0</v>
      </c>
      <c r="AS397" s="13">
        <f t="shared" si="377"/>
        <v>0</v>
      </c>
      <c r="AT397" s="13">
        <f t="shared" si="377"/>
        <v>0</v>
      </c>
      <c r="AU397" s="13">
        <f t="shared" si="377"/>
        <v>0</v>
      </c>
      <c r="AV397" s="13">
        <f t="shared" si="377"/>
        <v>0</v>
      </c>
      <c r="AW397" s="13">
        <f t="shared" si="377"/>
        <v>0</v>
      </c>
      <c r="AX397" s="13">
        <f t="shared" si="377"/>
        <v>0</v>
      </c>
    </row>
    <row r="398" spans="1:50" x14ac:dyDescent="0.2">
      <c r="A398" s="8"/>
      <c r="B398" s="14" t="s">
        <v>28</v>
      </c>
      <c r="C398" s="8" t="s">
        <v>31</v>
      </c>
      <c r="D398" s="8"/>
      <c r="E398" s="80"/>
      <c r="F398" s="15">
        <f t="shared" ref="F398:AX398" si="378">SUM(F311:F396)</f>
        <v>1857281</v>
      </c>
      <c r="G398" s="15">
        <f t="shared" si="378"/>
        <v>902435</v>
      </c>
      <c r="H398" s="110">
        <f>F398/G398</f>
        <v>2.0580773130474772</v>
      </c>
      <c r="I398" s="15">
        <f t="shared" si="378"/>
        <v>687052.20000000019</v>
      </c>
      <c r="J398" s="15">
        <f t="shared" si="378"/>
        <v>1120.4999999999995</v>
      </c>
      <c r="K398" s="15">
        <f t="shared" si="378"/>
        <v>35275.050000000003</v>
      </c>
      <c r="L398" s="15">
        <f t="shared" si="378"/>
        <v>0</v>
      </c>
      <c r="M398" s="15">
        <f t="shared" si="378"/>
        <v>726185.01</v>
      </c>
      <c r="N398" s="15">
        <f t="shared" si="378"/>
        <v>667045</v>
      </c>
      <c r="O398" s="15">
        <f t="shared" si="378"/>
        <v>168133</v>
      </c>
      <c r="P398" s="15">
        <f t="shared" si="378"/>
        <v>356992</v>
      </c>
      <c r="Q398" s="15">
        <f t="shared" si="378"/>
        <v>559919</v>
      </c>
      <c r="R398" s="15">
        <f t="shared" si="378"/>
        <v>0</v>
      </c>
      <c r="S398" s="15">
        <f t="shared" si="378"/>
        <v>0</v>
      </c>
      <c r="T398" s="15">
        <f t="shared" si="378"/>
        <v>0</v>
      </c>
      <c r="U398" s="15">
        <f t="shared" si="378"/>
        <v>0</v>
      </c>
      <c r="V398" s="15">
        <f t="shared" si="378"/>
        <v>0</v>
      </c>
      <c r="W398" s="15">
        <f t="shared" si="378"/>
        <v>0</v>
      </c>
      <c r="X398" s="15">
        <f t="shared" si="378"/>
        <v>0</v>
      </c>
      <c r="Y398" s="15">
        <f t="shared" si="378"/>
        <v>0</v>
      </c>
      <c r="Z398" s="15">
        <f t="shared" si="378"/>
        <v>0</v>
      </c>
      <c r="AA398" s="15">
        <f t="shared" si="378"/>
        <v>0</v>
      </c>
      <c r="AB398" s="15">
        <f t="shared" si="378"/>
        <v>0</v>
      </c>
      <c r="AC398" s="15">
        <f t="shared" si="378"/>
        <v>0</v>
      </c>
      <c r="AD398" s="15">
        <f t="shared" si="378"/>
        <v>0</v>
      </c>
      <c r="AE398" s="15">
        <f t="shared" si="378"/>
        <v>0</v>
      </c>
      <c r="AF398" s="15">
        <f t="shared" si="378"/>
        <v>0</v>
      </c>
      <c r="AG398" s="15">
        <f t="shared" si="378"/>
        <v>0</v>
      </c>
      <c r="AH398" s="15">
        <f t="shared" si="378"/>
        <v>0</v>
      </c>
      <c r="AI398" s="15">
        <f t="shared" si="378"/>
        <v>0</v>
      </c>
      <c r="AJ398" s="15">
        <f t="shared" si="378"/>
        <v>0</v>
      </c>
      <c r="AK398" s="15">
        <f t="shared" si="378"/>
        <v>0</v>
      </c>
      <c r="AL398" s="15">
        <f t="shared" si="378"/>
        <v>0</v>
      </c>
      <c r="AM398" s="45">
        <f t="shared" si="378"/>
        <v>0</v>
      </c>
      <c r="AN398" s="15">
        <f t="shared" si="378"/>
        <v>0</v>
      </c>
      <c r="AO398" s="15">
        <f t="shared" si="378"/>
        <v>0</v>
      </c>
      <c r="AP398" s="15">
        <f t="shared" si="378"/>
        <v>0</v>
      </c>
      <c r="AQ398" s="15">
        <f t="shared" si="378"/>
        <v>0</v>
      </c>
      <c r="AR398" s="15">
        <f t="shared" si="378"/>
        <v>0</v>
      </c>
      <c r="AS398" s="15">
        <f t="shared" si="378"/>
        <v>0</v>
      </c>
      <c r="AT398" s="15">
        <f t="shared" si="378"/>
        <v>0</v>
      </c>
      <c r="AU398" s="15">
        <f t="shared" si="378"/>
        <v>0</v>
      </c>
      <c r="AV398" s="15">
        <f t="shared" si="378"/>
        <v>0</v>
      </c>
      <c r="AW398" s="15">
        <f t="shared" si="378"/>
        <v>0</v>
      </c>
      <c r="AX398" s="15">
        <f t="shared" si="378"/>
        <v>0</v>
      </c>
    </row>
    <row r="399" spans="1:50" x14ac:dyDescent="0.2">
      <c r="A399" s="8"/>
      <c r="B399" s="14"/>
      <c r="C399" s="8" t="s">
        <v>32</v>
      </c>
      <c r="D399" s="8"/>
      <c r="E399" s="80"/>
      <c r="F399" s="10">
        <f t="shared" ref="F399:AX399" si="379">MIN(F311:F396)</f>
        <v>1553</v>
      </c>
      <c r="G399" s="10">
        <f t="shared" si="379"/>
        <v>725</v>
      </c>
      <c r="H399" s="10">
        <f t="shared" si="379"/>
        <v>0.93650793650793651</v>
      </c>
      <c r="I399" s="10">
        <f t="shared" si="379"/>
        <v>170.1</v>
      </c>
      <c r="J399" s="10">
        <f t="shared" si="379"/>
        <v>0</v>
      </c>
      <c r="K399" s="10">
        <f t="shared" si="379"/>
        <v>51</v>
      </c>
      <c r="L399" s="10">
        <f t="shared" si="379"/>
        <v>0</v>
      </c>
      <c r="M399" s="10">
        <f t="shared" si="379"/>
        <v>608</v>
      </c>
      <c r="N399" s="10">
        <f t="shared" si="379"/>
        <v>0</v>
      </c>
      <c r="O399" s="10">
        <f t="shared" si="379"/>
        <v>0</v>
      </c>
      <c r="P399" s="10">
        <f t="shared" si="379"/>
        <v>0</v>
      </c>
      <c r="Q399" s="10">
        <f t="shared" si="379"/>
        <v>0</v>
      </c>
      <c r="R399" s="10">
        <f t="shared" si="379"/>
        <v>0</v>
      </c>
      <c r="S399" s="10">
        <f t="shared" si="379"/>
        <v>0</v>
      </c>
      <c r="T399" s="10">
        <f t="shared" si="379"/>
        <v>0</v>
      </c>
      <c r="U399" s="10">
        <f t="shared" si="379"/>
        <v>0</v>
      </c>
      <c r="V399" s="10">
        <f t="shared" si="379"/>
        <v>0</v>
      </c>
      <c r="W399" s="10">
        <f t="shared" si="379"/>
        <v>0</v>
      </c>
      <c r="X399" s="10">
        <f t="shared" si="379"/>
        <v>0</v>
      </c>
      <c r="Y399" s="10">
        <f t="shared" si="379"/>
        <v>0</v>
      </c>
      <c r="Z399" s="10">
        <f t="shared" si="379"/>
        <v>0</v>
      </c>
      <c r="AA399" s="10">
        <f t="shared" si="379"/>
        <v>0</v>
      </c>
      <c r="AB399" s="10">
        <f t="shared" si="379"/>
        <v>0</v>
      </c>
      <c r="AC399" s="10">
        <f t="shared" si="379"/>
        <v>0</v>
      </c>
      <c r="AD399" s="10">
        <f t="shared" si="379"/>
        <v>0</v>
      </c>
      <c r="AE399" s="10">
        <f t="shared" si="379"/>
        <v>0</v>
      </c>
      <c r="AF399" s="10">
        <f t="shared" si="379"/>
        <v>0</v>
      </c>
      <c r="AG399" s="10">
        <f t="shared" si="379"/>
        <v>0</v>
      </c>
      <c r="AH399" s="10">
        <f t="shared" si="379"/>
        <v>0</v>
      </c>
      <c r="AI399" s="10">
        <f t="shared" si="379"/>
        <v>0</v>
      </c>
      <c r="AJ399" s="10">
        <f t="shared" si="379"/>
        <v>0</v>
      </c>
      <c r="AK399" s="10">
        <f t="shared" si="379"/>
        <v>0</v>
      </c>
      <c r="AL399" s="10">
        <f t="shared" si="379"/>
        <v>0</v>
      </c>
      <c r="AM399" s="46">
        <f t="shared" si="379"/>
        <v>0</v>
      </c>
      <c r="AN399" s="10">
        <f t="shared" si="379"/>
        <v>0</v>
      </c>
      <c r="AO399" s="10">
        <f t="shared" si="379"/>
        <v>0</v>
      </c>
      <c r="AP399" s="10">
        <f t="shared" si="379"/>
        <v>0</v>
      </c>
      <c r="AQ399" s="10">
        <f t="shared" si="379"/>
        <v>0</v>
      </c>
      <c r="AR399" s="10">
        <f t="shared" si="379"/>
        <v>0</v>
      </c>
      <c r="AS399" s="10">
        <f t="shared" si="379"/>
        <v>0</v>
      </c>
      <c r="AT399" s="10">
        <f t="shared" si="379"/>
        <v>0</v>
      </c>
      <c r="AU399" s="10">
        <f t="shared" si="379"/>
        <v>0</v>
      </c>
      <c r="AV399" s="10">
        <f t="shared" si="379"/>
        <v>0</v>
      </c>
      <c r="AW399" s="10">
        <f t="shared" si="379"/>
        <v>0</v>
      </c>
      <c r="AX399" s="10">
        <f t="shared" si="379"/>
        <v>0</v>
      </c>
    </row>
    <row r="400" spans="1:50" x14ac:dyDescent="0.2">
      <c r="A400" s="8"/>
      <c r="B400" s="14"/>
      <c r="C400" s="8" t="s">
        <v>33</v>
      </c>
      <c r="D400" s="8"/>
      <c r="E400" s="80"/>
      <c r="F400" s="10">
        <f t="shared" ref="F400:AX400" si="380">MAX(F311:F396)</f>
        <v>98382</v>
      </c>
      <c r="G400" s="10">
        <f t="shared" si="380"/>
        <v>47401</v>
      </c>
      <c r="H400" s="10">
        <f t="shared" si="380"/>
        <v>2.7822530174340634</v>
      </c>
      <c r="I400" s="10">
        <f t="shared" si="380"/>
        <v>53492.2</v>
      </c>
      <c r="J400" s="10">
        <f t="shared" si="380"/>
        <v>180</v>
      </c>
      <c r="K400" s="10">
        <f t="shared" si="380"/>
        <v>764</v>
      </c>
      <c r="L400" s="10">
        <f t="shared" si="380"/>
        <v>0</v>
      </c>
      <c r="M400" s="10">
        <f t="shared" si="380"/>
        <v>45518</v>
      </c>
      <c r="N400" s="10">
        <f t="shared" si="380"/>
        <v>45143</v>
      </c>
      <c r="O400" s="10">
        <f t="shared" si="380"/>
        <v>37979</v>
      </c>
      <c r="P400" s="10">
        <f t="shared" si="380"/>
        <v>31030</v>
      </c>
      <c r="Q400" s="10">
        <f t="shared" si="380"/>
        <v>47401</v>
      </c>
      <c r="R400" s="10">
        <f t="shared" si="380"/>
        <v>0</v>
      </c>
      <c r="S400" s="10">
        <f t="shared" si="380"/>
        <v>0</v>
      </c>
      <c r="T400" s="10">
        <f t="shared" si="380"/>
        <v>0</v>
      </c>
      <c r="U400" s="10">
        <f t="shared" si="380"/>
        <v>0</v>
      </c>
      <c r="V400" s="10">
        <f t="shared" si="380"/>
        <v>0</v>
      </c>
      <c r="W400" s="10">
        <f t="shared" si="380"/>
        <v>0</v>
      </c>
      <c r="X400" s="10">
        <f t="shared" si="380"/>
        <v>0</v>
      </c>
      <c r="Y400" s="10">
        <f t="shared" si="380"/>
        <v>0</v>
      </c>
      <c r="Z400" s="10">
        <f t="shared" si="380"/>
        <v>0</v>
      </c>
      <c r="AA400" s="10">
        <f t="shared" si="380"/>
        <v>0</v>
      </c>
      <c r="AB400" s="10">
        <f t="shared" si="380"/>
        <v>0</v>
      </c>
      <c r="AC400" s="10">
        <f t="shared" si="380"/>
        <v>0</v>
      </c>
      <c r="AD400" s="10">
        <f t="shared" si="380"/>
        <v>0</v>
      </c>
      <c r="AE400" s="10">
        <f t="shared" si="380"/>
        <v>0</v>
      </c>
      <c r="AF400" s="10">
        <f t="shared" si="380"/>
        <v>0</v>
      </c>
      <c r="AG400" s="10">
        <f t="shared" si="380"/>
        <v>0</v>
      </c>
      <c r="AH400" s="10">
        <f t="shared" si="380"/>
        <v>0</v>
      </c>
      <c r="AI400" s="10">
        <f t="shared" si="380"/>
        <v>0</v>
      </c>
      <c r="AJ400" s="10">
        <f t="shared" si="380"/>
        <v>0</v>
      </c>
      <c r="AK400" s="10">
        <f t="shared" si="380"/>
        <v>0</v>
      </c>
      <c r="AL400" s="10">
        <f t="shared" si="380"/>
        <v>0</v>
      </c>
      <c r="AM400" s="46">
        <f t="shared" si="380"/>
        <v>0</v>
      </c>
      <c r="AN400" s="10">
        <f t="shared" si="380"/>
        <v>0</v>
      </c>
      <c r="AO400" s="10">
        <f t="shared" si="380"/>
        <v>0</v>
      </c>
      <c r="AP400" s="10">
        <f t="shared" si="380"/>
        <v>0</v>
      </c>
      <c r="AQ400" s="10">
        <f t="shared" si="380"/>
        <v>0</v>
      </c>
      <c r="AR400" s="10">
        <f t="shared" si="380"/>
        <v>0</v>
      </c>
      <c r="AS400" s="10">
        <f t="shared" si="380"/>
        <v>0</v>
      </c>
      <c r="AT400" s="10">
        <f t="shared" si="380"/>
        <v>0</v>
      </c>
      <c r="AU400" s="10">
        <f t="shared" si="380"/>
        <v>0</v>
      </c>
      <c r="AV400" s="10">
        <f t="shared" si="380"/>
        <v>0</v>
      </c>
      <c r="AW400" s="10">
        <f t="shared" si="380"/>
        <v>0</v>
      </c>
      <c r="AX400" s="10">
        <f t="shared" si="380"/>
        <v>0</v>
      </c>
    </row>
    <row r="401" spans="1:50" x14ac:dyDescent="0.2">
      <c r="A401" s="8"/>
      <c r="B401" s="14"/>
      <c r="C401" s="8" t="s">
        <v>34</v>
      </c>
      <c r="D401" s="8"/>
      <c r="E401" s="80"/>
      <c r="F401" s="10">
        <f t="shared" ref="F401:AX401" si="381">AVERAGE(F311:F396)</f>
        <v>21596.29069767442</v>
      </c>
      <c r="G401" s="10">
        <f t="shared" si="381"/>
        <v>10493.430232558139</v>
      </c>
      <c r="H401" s="10">
        <f t="shared" si="381"/>
        <v>1.9129314654229455</v>
      </c>
      <c r="I401" s="10">
        <f t="shared" si="381"/>
        <v>7988.9790697674443</v>
      </c>
      <c r="J401" s="10">
        <f t="shared" si="381"/>
        <v>13.029069767441856</v>
      </c>
      <c r="K401" s="10">
        <f t="shared" si="381"/>
        <v>410.17500000000001</v>
      </c>
      <c r="L401" s="10" t="e">
        <f t="shared" si="381"/>
        <v>#DIV/0!</v>
      </c>
      <c r="M401" s="10">
        <f t="shared" si="381"/>
        <v>8444.0117441860475</v>
      </c>
      <c r="N401" s="10">
        <f t="shared" si="381"/>
        <v>7756.3372093023254</v>
      </c>
      <c r="O401" s="10">
        <f t="shared" si="381"/>
        <v>1955.0348837209303</v>
      </c>
      <c r="P401" s="10">
        <f t="shared" si="381"/>
        <v>4151.0697674418607</v>
      </c>
      <c r="Q401" s="10">
        <f t="shared" si="381"/>
        <v>6510.6860465116279</v>
      </c>
      <c r="R401" s="10" t="e">
        <f t="shared" si="381"/>
        <v>#DIV/0!</v>
      </c>
      <c r="S401" s="10">
        <f t="shared" si="381"/>
        <v>0</v>
      </c>
      <c r="T401" s="10">
        <f t="shared" si="381"/>
        <v>0</v>
      </c>
      <c r="U401" s="10">
        <f t="shared" si="381"/>
        <v>0</v>
      </c>
      <c r="V401" s="10">
        <f t="shared" si="381"/>
        <v>0</v>
      </c>
      <c r="W401" s="10">
        <f t="shared" si="381"/>
        <v>0</v>
      </c>
      <c r="X401" s="10">
        <f t="shared" si="381"/>
        <v>0</v>
      </c>
      <c r="Y401" s="10">
        <f t="shared" si="381"/>
        <v>0</v>
      </c>
      <c r="Z401" s="10">
        <f t="shared" si="381"/>
        <v>0</v>
      </c>
      <c r="AA401" s="10">
        <f t="shared" si="381"/>
        <v>0</v>
      </c>
      <c r="AB401" s="10">
        <f t="shared" si="381"/>
        <v>0</v>
      </c>
      <c r="AC401" s="10">
        <f t="shared" si="381"/>
        <v>0</v>
      </c>
      <c r="AD401" s="10">
        <f t="shared" si="381"/>
        <v>0</v>
      </c>
      <c r="AE401" s="10">
        <f t="shared" si="381"/>
        <v>0</v>
      </c>
      <c r="AF401" s="10">
        <f t="shared" si="381"/>
        <v>0</v>
      </c>
      <c r="AG401" s="10">
        <f t="shared" si="381"/>
        <v>0</v>
      </c>
      <c r="AH401" s="10">
        <f t="shared" si="381"/>
        <v>0</v>
      </c>
      <c r="AI401" s="10">
        <f t="shared" si="381"/>
        <v>0</v>
      </c>
      <c r="AJ401" s="10">
        <f t="shared" si="381"/>
        <v>0</v>
      </c>
      <c r="AK401" s="10">
        <f t="shared" si="381"/>
        <v>0</v>
      </c>
      <c r="AL401" s="10">
        <f t="shared" si="381"/>
        <v>0</v>
      </c>
      <c r="AM401" s="46">
        <f t="shared" si="381"/>
        <v>0</v>
      </c>
      <c r="AN401" s="10">
        <f t="shared" si="381"/>
        <v>0</v>
      </c>
      <c r="AO401" s="10">
        <f t="shared" si="381"/>
        <v>0</v>
      </c>
      <c r="AP401" s="10">
        <f t="shared" si="381"/>
        <v>0</v>
      </c>
      <c r="AQ401" s="10">
        <f t="shared" si="381"/>
        <v>0</v>
      </c>
      <c r="AR401" s="10">
        <f t="shared" si="381"/>
        <v>0</v>
      </c>
      <c r="AS401" s="10">
        <f t="shared" si="381"/>
        <v>0</v>
      </c>
      <c r="AT401" s="10">
        <f t="shared" si="381"/>
        <v>0</v>
      </c>
      <c r="AU401" s="10">
        <f t="shared" si="381"/>
        <v>0</v>
      </c>
      <c r="AV401" s="10">
        <f t="shared" si="381"/>
        <v>0</v>
      </c>
      <c r="AW401" s="10">
        <f t="shared" si="381"/>
        <v>0</v>
      </c>
      <c r="AX401" s="10">
        <f t="shared" si="381"/>
        <v>0</v>
      </c>
    </row>
    <row r="402" spans="1:50" ht="13.5" thickBot="1" x14ac:dyDescent="0.25">
      <c r="A402" s="16"/>
      <c r="B402" s="17"/>
      <c r="C402" s="16" t="s">
        <v>35</v>
      </c>
      <c r="D402" s="16"/>
      <c r="E402" s="80"/>
      <c r="F402" s="18">
        <f t="shared" ref="F402:AX402" si="382">MEDIAN(F311:F396)</f>
        <v>12644</v>
      </c>
      <c r="G402" s="18">
        <f t="shared" si="382"/>
        <v>6379</v>
      </c>
      <c r="H402" s="18">
        <f t="shared" si="382"/>
        <v>1.9134107645850271</v>
      </c>
      <c r="I402" s="18">
        <f t="shared" si="382"/>
        <v>5171.8500000000004</v>
      </c>
      <c r="J402" s="18">
        <f t="shared" si="382"/>
        <v>2.4</v>
      </c>
      <c r="K402" s="18">
        <f t="shared" si="382"/>
        <v>401.4</v>
      </c>
      <c r="L402" s="18" t="e">
        <f t="shared" si="382"/>
        <v>#NUM!</v>
      </c>
      <c r="M402" s="18">
        <f t="shared" si="382"/>
        <v>4424.5</v>
      </c>
      <c r="N402" s="18">
        <f t="shared" si="382"/>
        <v>4154</v>
      </c>
      <c r="O402" s="18">
        <f t="shared" si="382"/>
        <v>0</v>
      </c>
      <c r="P402" s="18">
        <f t="shared" si="382"/>
        <v>0</v>
      </c>
      <c r="Q402" s="18">
        <f t="shared" si="382"/>
        <v>0</v>
      </c>
      <c r="R402" s="18" t="e">
        <f t="shared" si="382"/>
        <v>#NUM!</v>
      </c>
      <c r="S402" s="18">
        <f t="shared" si="382"/>
        <v>0</v>
      </c>
      <c r="T402" s="18">
        <f t="shared" si="382"/>
        <v>0</v>
      </c>
      <c r="U402" s="18">
        <f t="shared" si="382"/>
        <v>0</v>
      </c>
      <c r="V402" s="18">
        <f t="shared" si="382"/>
        <v>0</v>
      </c>
      <c r="W402" s="18">
        <f t="shared" si="382"/>
        <v>0</v>
      </c>
      <c r="X402" s="18">
        <f t="shared" si="382"/>
        <v>0</v>
      </c>
      <c r="Y402" s="18">
        <f t="shared" si="382"/>
        <v>0</v>
      </c>
      <c r="Z402" s="18">
        <f t="shared" si="382"/>
        <v>0</v>
      </c>
      <c r="AA402" s="18">
        <f t="shared" si="382"/>
        <v>0</v>
      </c>
      <c r="AB402" s="18">
        <f t="shared" si="382"/>
        <v>0</v>
      </c>
      <c r="AC402" s="18">
        <f t="shared" si="382"/>
        <v>0</v>
      </c>
      <c r="AD402" s="18">
        <f t="shared" si="382"/>
        <v>0</v>
      </c>
      <c r="AE402" s="18">
        <f t="shared" si="382"/>
        <v>0</v>
      </c>
      <c r="AF402" s="18">
        <f t="shared" si="382"/>
        <v>0</v>
      </c>
      <c r="AG402" s="18">
        <f t="shared" si="382"/>
        <v>0</v>
      </c>
      <c r="AH402" s="18">
        <f t="shared" si="382"/>
        <v>0</v>
      </c>
      <c r="AI402" s="18">
        <f t="shared" si="382"/>
        <v>0</v>
      </c>
      <c r="AJ402" s="18">
        <f t="shared" si="382"/>
        <v>0</v>
      </c>
      <c r="AK402" s="18">
        <f t="shared" si="382"/>
        <v>0</v>
      </c>
      <c r="AL402" s="18">
        <f t="shared" si="382"/>
        <v>0</v>
      </c>
      <c r="AM402" s="47">
        <f t="shared" si="382"/>
        <v>0</v>
      </c>
      <c r="AN402" s="18">
        <f t="shared" si="382"/>
        <v>0</v>
      </c>
      <c r="AO402" s="18">
        <f t="shared" si="382"/>
        <v>0</v>
      </c>
      <c r="AP402" s="18">
        <f t="shared" si="382"/>
        <v>0</v>
      </c>
      <c r="AQ402" s="18">
        <f t="shared" si="382"/>
        <v>0</v>
      </c>
      <c r="AR402" s="18">
        <f t="shared" si="382"/>
        <v>0</v>
      </c>
      <c r="AS402" s="18">
        <f t="shared" si="382"/>
        <v>0</v>
      </c>
      <c r="AT402" s="18">
        <f t="shared" si="382"/>
        <v>0</v>
      </c>
      <c r="AU402" s="18">
        <f t="shared" si="382"/>
        <v>0</v>
      </c>
      <c r="AV402" s="18">
        <f t="shared" si="382"/>
        <v>0</v>
      </c>
      <c r="AW402" s="18">
        <f t="shared" si="382"/>
        <v>0</v>
      </c>
      <c r="AX402" s="18">
        <f t="shared" si="382"/>
        <v>0</v>
      </c>
    </row>
    <row r="403" spans="1:50" ht="13.5" thickTop="1" x14ac:dyDescent="0.2">
      <c r="B403" s="48" t="s">
        <v>27</v>
      </c>
      <c r="F403"/>
      <c r="G403"/>
      <c r="H403"/>
      <c r="I403"/>
      <c r="J403"/>
      <c r="K403"/>
    </row>
    <row r="404" spans="1:50" x14ac:dyDescent="0.2">
      <c r="B404" s="48"/>
    </row>
    <row r="406" spans="1:50" ht="15.75" x14ac:dyDescent="0.25">
      <c r="A406" s="86" t="s">
        <v>29</v>
      </c>
      <c r="B406" s="90"/>
      <c r="C406" s="87"/>
      <c r="D406" s="52"/>
      <c r="E406" s="88"/>
      <c r="F406" s="52"/>
      <c r="G406" s="52"/>
      <c r="H406" s="52"/>
      <c r="I406" s="52"/>
      <c r="J406" s="52"/>
      <c r="K406" s="52"/>
    </row>
    <row r="407" spans="1:50" x14ac:dyDescent="0.2">
      <c r="A407" s="9">
        <v>10500</v>
      </c>
      <c r="B407" s="89" t="str">
        <f t="shared" ref="B407:B448" si="383">VLOOKUP($A407,$A$5:$K$132,2,FALSE)</f>
        <v xml:space="preserve">Bayside Council </v>
      </c>
      <c r="C407" s="9" t="str">
        <f t="shared" ref="C407:C448" si="384">VLOOKUP($A407,$A$5:$K$133,3,FALSE)</f>
        <v>SSROC</v>
      </c>
      <c r="D407" s="51" t="str">
        <f t="shared" ref="D407:D448" si="385">VLOOKUP($A407,$A$5:$K$133,4,FALSE)</f>
        <v>S</v>
      </c>
      <c r="E407" s="10">
        <f t="shared" ref="E407:E448" si="386">VLOOKUP($A407,$A$5:$AX$132,5,FALSE)</f>
        <v>0</v>
      </c>
      <c r="F407" s="10">
        <f t="shared" ref="F407:F448" si="387">VLOOKUP($A407,$A$5:$AX$132,6,FALSE)</f>
        <v>181472</v>
      </c>
      <c r="G407" s="10">
        <f t="shared" ref="G407:G448" si="388">VLOOKUP($A407,$A$5:$AX$132,7,FALSE)</f>
        <v>66666</v>
      </c>
      <c r="H407" s="10">
        <f t="shared" ref="H407:H448" si="389">VLOOKUP($A407,$A$5:$AX$132,8,FALSE)</f>
        <v>2.7221072210722106</v>
      </c>
      <c r="I407" s="10">
        <f t="shared" ref="I407:I448" si="390">VLOOKUP($A407,$A$5:$AX$132,9,FALSE)</f>
        <v>49.9</v>
      </c>
      <c r="J407" s="10">
        <f t="shared" ref="J407:J448" si="391">VLOOKUP($A407,$A$5:$AX$132,10,FALSE)</f>
        <v>3637.4</v>
      </c>
      <c r="K407" s="10">
        <f t="shared" ref="K407:K448" si="392">VLOOKUP($A407,$A$5:$AX$132,11,FALSE)</f>
        <v>517.08000000000004</v>
      </c>
      <c r="L407" s="10" t="str">
        <f t="shared" ref="L407:L448" si="393">VLOOKUP($A407,$A$4:$AX$132,12,FALSE)</f>
        <v>Y</v>
      </c>
      <c r="M407" s="10">
        <f t="shared" ref="M407:M448" si="394">VLOOKUP($A407,$A$4:$AX$132,13,FALSE)</f>
        <v>66666</v>
      </c>
      <c r="N407" s="10">
        <f t="shared" ref="N407:N448" si="395">VLOOKUP($A407,$A$4:$AX$132,14,FALSE)</f>
        <v>65966</v>
      </c>
      <c r="O407" s="10">
        <f t="shared" ref="O407:O448" si="396">VLOOKUP($A407,$A$4:$AX$132,15,FALSE)</f>
        <v>16102</v>
      </c>
      <c r="P407" s="10">
        <f t="shared" ref="P407:P448" si="397">VLOOKUP($A407,$A$4:$AX$132,16,FALSE)</f>
        <v>0</v>
      </c>
      <c r="Q407" s="10">
        <f t="shared" ref="Q407:Q448" si="398">VLOOKUP($A407,$A$4:$AX$132,17,FALSE)</f>
        <v>66666</v>
      </c>
      <c r="R407" s="10" t="str">
        <f t="shared" ref="R407:R448" si="399">VLOOKUP($A407,$A$4:$AX$132,18,FALSE)</f>
        <v>Yes</v>
      </c>
      <c r="S407" s="10" t="str">
        <f t="shared" ref="S407:S448" si="400">VLOOKUP($A407,$A$4:$AX$132,19,FALSE)</f>
        <v>N/A</v>
      </c>
      <c r="T407" s="10">
        <f t="shared" ref="T407:T448" si="401">VLOOKUP($A407,$A$4:$AX$132,20,FALSE)</f>
        <v>0</v>
      </c>
      <c r="U407" s="10">
        <f t="shared" ref="U407:U448" si="402">VLOOKUP($A407,$A$4:$AX$132,21,FALSE)</f>
        <v>0</v>
      </c>
      <c r="V407" s="10">
        <f t="shared" ref="V407:V448" si="403">VLOOKUP($A407,$A$4:$AX$132,22,FALSE)</f>
        <v>0</v>
      </c>
      <c r="W407" s="10">
        <f t="shared" ref="W407:W448" si="404">VLOOKUP($A407,$A$4:$AX$132,23,FALSE)</f>
        <v>0</v>
      </c>
      <c r="X407" s="10">
        <f t="shared" ref="X407:X448" si="405">VLOOKUP($A407,$A$4:$AX$132,24,FALSE)</f>
        <v>0</v>
      </c>
      <c r="Y407" s="10">
        <f t="shared" ref="Y407:Y448" si="406">VLOOKUP($A407,$A$4:$AX$132,25,FALSE)</f>
        <v>0</v>
      </c>
      <c r="Z407" s="10">
        <f t="shared" ref="Z407:Z448" si="407">VLOOKUP($A407,$A$4:$AX$132,26,FALSE)</f>
        <v>0</v>
      </c>
      <c r="AA407" s="10">
        <f t="shared" ref="AA407:AA448" si="408">VLOOKUP($A407,$A$4:$AX$132,27,FALSE)</f>
        <v>0</v>
      </c>
      <c r="AB407" s="10">
        <f t="shared" ref="AB407:AB448" si="409">VLOOKUP($A407,$A$4:$AX$132,28,FALSE)</f>
        <v>0</v>
      </c>
      <c r="AC407" s="10">
        <f t="shared" ref="AC407:AC448" si="410">VLOOKUP($A407,$A$4:$AX$132,29,FALSE)</f>
        <v>0</v>
      </c>
      <c r="AD407" s="10">
        <f t="shared" ref="AD407:AD448" si="411">VLOOKUP($A407,$A$4:$AX$132,30,FALSE)</f>
        <v>0</v>
      </c>
      <c r="AE407" s="10">
        <f t="shared" ref="AE407:AE448" si="412">VLOOKUP($A407,$A$4:$AX$132,31,FALSE)</f>
        <v>0</v>
      </c>
      <c r="AF407" s="10">
        <f t="shared" ref="AF407:AF448" si="413">VLOOKUP($A407,$A$4:$AX$132,32,FALSE)</f>
        <v>0</v>
      </c>
      <c r="AG407" s="10">
        <f t="shared" ref="AG407:AG448" si="414">VLOOKUP($A407,$A$4:$AX$132,33,FALSE)</f>
        <v>0</v>
      </c>
      <c r="AH407" s="10">
        <f t="shared" ref="AH407:AH448" si="415">VLOOKUP($A407,$A$4:$AX$132,34,FALSE)</f>
        <v>0</v>
      </c>
      <c r="AI407" s="10">
        <f t="shared" ref="AI407:AI448" si="416">VLOOKUP($A407,$A$4:$AX$132,35,FALSE)</f>
        <v>0</v>
      </c>
      <c r="AJ407" s="10">
        <f t="shared" ref="AJ407:AJ448" si="417">VLOOKUP($A407,$A$4:$AX$132,36,FALSE)</f>
        <v>0</v>
      </c>
      <c r="AK407" s="10">
        <f t="shared" ref="AK407:AK448" si="418">VLOOKUP($A407,$A$4:$AX$132,37,FALSE)</f>
        <v>0</v>
      </c>
      <c r="AL407" s="10">
        <f t="shared" ref="AL407:AL448" si="419">VLOOKUP($A407,$A$4:$AX$132,38,FALSE)</f>
        <v>0</v>
      </c>
      <c r="AM407" s="10">
        <f t="shared" ref="AM407:AM448" si="420">VLOOKUP($A407,$A$4:$AX$132,39,FALSE)</f>
        <v>0</v>
      </c>
      <c r="AN407" s="46">
        <f t="shared" ref="AN407:AN448" si="421">VLOOKUP($A407,$A$4:$AX$132,40,FALSE)</f>
        <v>0</v>
      </c>
      <c r="AO407" s="10">
        <f t="shared" ref="AO407:AO448" si="422">VLOOKUP($A407,$A$4:$AX$132,41,FALSE)</f>
        <v>0</v>
      </c>
      <c r="AP407" s="10">
        <f t="shared" ref="AP407:AP448" si="423">VLOOKUP($A407,$A$4:$AX$132,42,FALSE)</f>
        <v>0</v>
      </c>
      <c r="AQ407" s="10">
        <f t="shared" ref="AQ407:AQ448" si="424">VLOOKUP($A407,$A$4:$AX$132,43,FALSE)</f>
        <v>0</v>
      </c>
      <c r="AR407" s="10">
        <f t="shared" ref="AR407:AR448" si="425">VLOOKUP($A407,$A$4:$AX$132,44,FALSE)</f>
        <v>0</v>
      </c>
      <c r="AS407" s="10">
        <f t="shared" ref="AS407:AS448" si="426">VLOOKUP($A407,$A$4:$AX$132,45,FALSE)</f>
        <v>0</v>
      </c>
      <c r="AT407" s="10">
        <f t="shared" ref="AT407:AT448" si="427">VLOOKUP($A407,$A$4:$AX$132,46,FALSE)</f>
        <v>0</v>
      </c>
      <c r="AU407" s="10">
        <f t="shared" ref="AU407:AU448" si="428">VLOOKUP($A407,$A$4:$AX$132,47,FALSE)</f>
        <v>0</v>
      </c>
      <c r="AV407" s="10">
        <f t="shared" ref="AV407:AV448" si="429">VLOOKUP($A407,$A$4:$AX$132,48,FALSE)</f>
        <v>0</v>
      </c>
      <c r="AW407" s="10">
        <f t="shared" ref="AW407:AW448" si="430">VLOOKUP($A407,$A$4:$AX$132,49,FALSE)</f>
        <v>0</v>
      </c>
      <c r="AX407" s="10">
        <f t="shared" ref="AX407:AX448" si="431">VLOOKUP($A407,$A$4:$AX$132,50,FALSE)</f>
        <v>0</v>
      </c>
    </row>
    <row r="408" spans="1:50" x14ac:dyDescent="0.2">
      <c r="A408" s="8">
        <v>10750</v>
      </c>
      <c r="B408" s="89" t="str">
        <f t="shared" si="383"/>
        <v>Blacktown</v>
      </c>
      <c r="C408" s="9" t="str">
        <f t="shared" si="384"/>
        <v>WSROC</v>
      </c>
      <c r="D408" s="51" t="str">
        <f t="shared" si="385"/>
        <v>S</v>
      </c>
      <c r="E408" s="10">
        <f t="shared" si="386"/>
        <v>0</v>
      </c>
      <c r="F408" s="10">
        <f t="shared" si="387"/>
        <v>382831</v>
      </c>
      <c r="G408" s="10">
        <f t="shared" si="388"/>
        <v>144115</v>
      </c>
      <c r="H408" s="10">
        <f t="shared" si="389"/>
        <v>2.6564271588661832</v>
      </c>
      <c r="I408" s="10">
        <f t="shared" si="390"/>
        <v>240</v>
      </c>
      <c r="J408" s="10">
        <f t="shared" si="391"/>
        <v>1594.8</v>
      </c>
      <c r="K408" s="10">
        <f t="shared" si="392"/>
        <v>589</v>
      </c>
      <c r="L408" s="10" t="str">
        <f t="shared" si="393"/>
        <v>Y</v>
      </c>
      <c r="M408" s="10">
        <f t="shared" si="394"/>
        <v>140322</v>
      </c>
      <c r="N408" s="10">
        <f t="shared" si="395"/>
        <v>128870</v>
      </c>
      <c r="O408" s="10">
        <f t="shared" si="396"/>
        <v>0</v>
      </c>
      <c r="P408" s="10">
        <f t="shared" si="397"/>
        <v>0</v>
      </c>
      <c r="Q408" s="10">
        <f t="shared" si="398"/>
        <v>144115</v>
      </c>
      <c r="R408" s="10" t="str">
        <f t="shared" si="399"/>
        <v>Yes</v>
      </c>
      <c r="S408" s="10" t="str">
        <f t="shared" si="400"/>
        <v>Chemical CleanOut - Station St, Rooty Hill NSW</v>
      </c>
      <c r="T408" s="10">
        <f t="shared" si="401"/>
        <v>0</v>
      </c>
      <c r="U408" s="10">
        <f t="shared" si="402"/>
        <v>0</v>
      </c>
      <c r="V408" s="10">
        <f t="shared" si="403"/>
        <v>0</v>
      </c>
      <c r="W408" s="10">
        <f t="shared" si="404"/>
        <v>0</v>
      </c>
      <c r="X408" s="10">
        <f t="shared" si="405"/>
        <v>0</v>
      </c>
      <c r="Y408" s="10">
        <f t="shared" si="406"/>
        <v>0</v>
      </c>
      <c r="Z408" s="10">
        <f t="shared" si="407"/>
        <v>0</v>
      </c>
      <c r="AA408" s="10">
        <f t="shared" si="408"/>
        <v>0</v>
      </c>
      <c r="AB408" s="10">
        <f t="shared" si="409"/>
        <v>0</v>
      </c>
      <c r="AC408" s="10">
        <f t="shared" si="410"/>
        <v>0</v>
      </c>
      <c r="AD408" s="10">
        <f t="shared" si="411"/>
        <v>0</v>
      </c>
      <c r="AE408" s="10">
        <f t="shared" si="412"/>
        <v>0</v>
      </c>
      <c r="AF408" s="10">
        <f t="shared" si="413"/>
        <v>0</v>
      </c>
      <c r="AG408" s="10">
        <f t="shared" si="414"/>
        <v>0</v>
      </c>
      <c r="AH408" s="10">
        <f t="shared" si="415"/>
        <v>0</v>
      </c>
      <c r="AI408" s="10">
        <f t="shared" si="416"/>
        <v>0</v>
      </c>
      <c r="AJ408" s="10">
        <f t="shared" si="417"/>
        <v>0</v>
      </c>
      <c r="AK408" s="10">
        <f t="shared" si="418"/>
        <v>0</v>
      </c>
      <c r="AL408" s="10">
        <f t="shared" si="419"/>
        <v>0</v>
      </c>
      <c r="AM408" s="10">
        <f t="shared" si="420"/>
        <v>0</v>
      </c>
      <c r="AN408" s="46">
        <f t="shared" si="421"/>
        <v>0</v>
      </c>
      <c r="AO408" s="10">
        <f t="shared" si="422"/>
        <v>0</v>
      </c>
      <c r="AP408" s="10">
        <f t="shared" si="423"/>
        <v>0</v>
      </c>
      <c r="AQ408" s="10">
        <f t="shared" si="424"/>
        <v>0</v>
      </c>
      <c r="AR408" s="10">
        <f t="shared" si="425"/>
        <v>0</v>
      </c>
      <c r="AS408" s="10">
        <f t="shared" si="426"/>
        <v>0</v>
      </c>
      <c r="AT408" s="10">
        <f t="shared" si="427"/>
        <v>0</v>
      </c>
      <c r="AU408" s="10">
        <f t="shared" si="428"/>
        <v>0</v>
      </c>
      <c r="AV408" s="10">
        <f t="shared" si="429"/>
        <v>0</v>
      </c>
      <c r="AW408" s="10">
        <f t="shared" si="430"/>
        <v>0</v>
      </c>
      <c r="AX408" s="10">
        <f t="shared" si="431"/>
        <v>0</v>
      </c>
    </row>
    <row r="409" spans="1:50" x14ac:dyDescent="0.2">
      <c r="A409" s="8">
        <v>11300</v>
      </c>
      <c r="B409" s="89" t="str">
        <f t="shared" si="383"/>
        <v>Burwood</v>
      </c>
      <c r="C409" s="9" t="str">
        <f t="shared" si="384"/>
        <v>SSROC</v>
      </c>
      <c r="D409" s="51" t="str">
        <f t="shared" si="385"/>
        <v>S</v>
      </c>
      <c r="E409" s="10">
        <f t="shared" si="386"/>
        <v>0</v>
      </c>
      <c r="F409" s="10">
        <f t="shared" si="387"/>
        <v>40866</v>
      </c>
      <c r="G409" s="10">
        <f t="shared" si="388"/>
        <v>14361</v>
      </c>
      <c r="H409" s="10">
        <f t="shared" si="389"/>
        <v>2.8456235638186755</v>
      </c>
      <c r="I409" s="10">
        <f t="shared" si="390"/>
        <v>7.1</v>
      </c>
      <c r="J409" s="10">
        <f t="shared" si="391"/>
        <v>5733.1</v>
      </c>
      <c r="K409" s="10">
        <f t="shared" si="392"/>
        <v>419.5</v>
      </c>
      <c r="L409" s="10" t="str">
        <f t="shared" si="393"/>
        <v>Y</v>
      </c>
      <c r="M409" s="10">
        <f t="shared" si="394"/>
        <v>14190</v>
      </c>
      <c r="N409" s="10">
        <f t="shared" si="395"/>
        <v>14361</v>
      </c>
      <c r="O409" s="10">
        <f t="shared" si="396"/>
        <v>14361</v>
      </c>
      <c r="P409" s="10">
        <f t="shared" si="397"/>
        <v>0</v>
      </c>
      <c r="Q409" s="10">
        <f t="shared" si="398"/>
        <v>14361</v>
      </c>
      <c r="R409" s="10" t="str">
        <f t="shared" si="399"/>
        <v>Yes</v>
      </c>
      <c r="S409" s="10" t="str">
        <f t="shared" si="400"/>
        <v>Council Operations Centre, Kingsbury Street Croydon Park</v>
      </c>
      <c r="T409" s="10">
        <f t="shared" si="401"/>
        <v>0</v>
      </c>
      <c r="U409" s="10">
        <f t="shared" si="402"/>
        <v>0</v>
      </c>
      <c r="V409" s="10">
        <f t="shared" si="403"/>
        <v>0</v>
      </c>
      <c r="W409" s="10">
        <f t="shared" si="404"/>
        <v>0</v>
      </c>
      <c r="X409" s="10">
        <f t="shared" si="405"/>
        <v>0</v>
      </c>
      <c r="Y409" s="10">
        <f t="shared" si="406"/>
        <v>0</v>
      </c>
      <c r="Z409" s="10">
        <f t="shared" si="407"/>
        <v>0</v>
      </c>
      <c r="AA409" s="10">
        <f t="shared" si="408"/>
        <v>0</v>
      </c>
      <c r="AB409" s="10">
        <f t="shared" si="409"/>
        <v>0</v>
      </c>
      <c r="AC409" s="10">
        <f t="shared" si="410"/>
        <v>0</v>
      </c>
      <c r="AD409" s="10">
        <f t="shared" si="411"/>
        <v>0</v>
      </c>
      <c r="AE409" s="10">
        <f t="shared" si="412"/>
        <v>0</v>
      </c>
      <c r="AF409" s="10">
        <f t="shared" si="413"/>
        <v>0</v>
      </c>
      <c r="AG409" s="10">
        <f t="shared" si="414"/>
        <v>0</v>
      </c>
      <c r="AH409" s="10">
        <f t="shared" si="415"/>
        <v>0</v>
      </c>
      <c r="AI409" s="10">
        <f t="shared" si="416"/>
        <v>0</v>
      </c>
      <c r="AJ409" s="10">
        <f t="shared" si="417"/>
        <v>0</v>
      </c>
      <c r="AK409" s="10">
        <f t="shared" si="418"/>
        <v>0</v>
      </c>
      <c r="AL409" s="10">
        <f t="shared" si="419"/>
        <v>0</v>
      </c>
      <c r="AM409" s="10">
        <f t="shared" si="420"/>
        <v>0</v>
      </c>
      <c r="AN409" s="46">
        <f t="shared" si="421"/>
        <v>0</v>
      </c>
      <c r="AO409" s="10">
        <f t="shared" si="422"/>
        <v>0</v>
      </c>
      <c r="AP409" s="10">
        <f t="shared" si="423"/>
        <v>0</v>
      </c>
      <c r="AQ409" s="10">
        <f t="shared" si="424"/>
        <v>0</v>
      </c>
      <c r="AR409" s="10">
        <f t="shared" si="425"/>
        <v>0</v>
      </c>
      <c r="AS409" s="10">
        <f t="shared" si="426"/>
        <v>0</v>
      </c>
      <c r="AT409" s="10">
        <f t="shared" si="427"/>
        <v>0</v>
      </c>
      <c r="AU409" s="10">
        <f t="shared" si="428"/>
        <v>0</v>
      </c>
      <c r="AV409" s="10">
        <f t="shared" si="429"/>
        <v>0</v>
      </c>
      <c r="AW409" s="10">
        <f t="shared" si="430"/>
        <v>0</v>
      </c>
      <c r="AX409" s="10">
        <f t="shared" si="431"/>
        <v>0</v>
      </c>
    </row>
    <row r="410" spans="1:50" x14ac:dyDescent="0.2">
      <c r="A410" s="8">
        <v>11450</v>
      </c>
      <c r="B410" s="89" t="str">
        <f t="shared" si="383"/>
        <v>Camden</v>
      </c>
      <c r="C410" s="9" t="str">
        <f t="shared" si="384"/>
        <v>MSWA</v>
      </c>
      <c r="D410" s="51" t="str">
        <f t="shared" si="385"/>
        <v>S</v>
      </c>
      <c r="E410" s="10">
        <f t="shared" si="386"/>
        <v>0</v>
      </c>
      <c r="F410" s="10">
        <f t="shared" si="387"/>
        <v>107806</v>
      </c>
      <c r="G410" s="10">
        <f t="shared" si="388"/>
        <v>41645</v>
      </c>
      <c r="H410" s="10">
        <f t="shared" si="389"/>
        <v>2.5886901188618081</v>
      </c>
      <c r="I410" s="10">
        <f t="shared" si="390"/>
        <v>201</v>
      </c>
      <c r="J410" s="10">
        <f t="shared" si="391"/>
        <v>536.29999999999995</v>
      </c>
      <c r="K410" s="10">
        <f t="shared" si="392"/>
        <v>373</v>
      </c>
      <c r="L410" s="10" t="str">
        <f t="shared" si="393"/>
        <v>Y</v>
      </c>
      <c r="M410" s="10">
        <f t="shared" si="394"/>
        <v>37853</v>
      </c>
      <c r="N410" s="10">
        <f t="shared" si="395"/>
        <v>35715</v>
      </c>
      <c r="O410" s="10">
        <f t="shared" si="396"/>
        <v>35715</v>
      </c>
      <c r="P410" s="10">
        <f t="shared" si="397"/>
        <v>0</v>
      </c>
      <c r="Q410" s="10">
        <f t="shared" si="398"/>
        <v>41645</v>
      </c>
      <c r="R410" s="10" t="str">
        <f t="shared" si="399"/>
        <v>Yes</v>
      </c>
      <c r="S410" s="10" t="str">
        <f t="shared" si="400"/>
        <v>Camden Council Administration Building - 70 Central Ave ORAN PARK</v>
      </c>
      <c r="T410" s="10" t="str">
        <f t="shared" si="401"/>
        <v>Camden Library - 40 John St CAMDEN 2570</v>
      </c>
      <c r="U410" s="10" t="str">
        <f t="shared" si="402"/>
        <v>Narellan Library - Cnr Queen &amp; Elyard Sts NARELLAN 2567</v>
      </c>
      <c r="V410" s="10" t="str">
        <f t="shared" si="403"/>
        <v xml:space="preserve">Macarthur Centre for Sustainable Living - 1 Mount Annan Dr MOUNT ANNAN 2567 </v>
      </c>
      <c r="W410" s="10" t="str">
        <f t="shared" si="404"/>
        <v>13 collection sites - sharps, syringe etc</v>
      </c>
      <c r="X410" s="10" t="str">
        <f t="shared" si="405"/>
        <v>Camden Council Administration Building - 70 Central Ave ORAN PARK</v>
      </c>
      <c r="Y410" s="10" t="str">
        <f t="shared" si="406"/>
        <v>Camden Council Administration Building - 70 Central Ave ORAN PARK</v>
      </c>
      <c r="Z410" s="10">
        <f t="shared" si="407"/>
        <v>0</v>
      </c>
      <c r="AA410" s="10">
        <f t="shared" si="408"/>
        <v>0</v>
      </c>
      <c r="AB410" s="10">
        <f t="shared" si="409"/>
        <v>0</v>
      </c>
      <c r="AC410" s="10">
        <f t="shared" si="410"/>
        <v>0</v>
      </c>
      <c r="AD410" s="10">
        <f t="shared" si="411"/>
        <v>0</v>
      </c>
      <c r="AE410" s="10">
        <f t="shared" si="412"/>
        <v>0</v>
      </c>
      <c r="AF410" s="10">
        <f t="shared" si="413"/>
        <v>0</v>
      </c>
      <c r="AG410" s="10">
        <f t="shared" si="414"/>
        <v>0</v>
      </c>
      <c r="AH410" s="10">
        <f t="shared" si="415"/>
        <v>0</v>
      </c>
      <c r="AI410" s="10">
        <f t="shared" si="416"/>
        <v>0</v>
      </c>
      <c r="AJ410" s="10">
        <f t="shared" si="417"/>
        <v>0</v>
      </c>
      <c r="AK410" s="10">
        <f t="shared" si="418"/>
        <v>0</v>
      </c>
      <c r="AL410" s="10">
        <f t="shared" si="419"/>
        <v>0</v>
      </c>
      <c r="AM410" s="10">
        <f t="shared" si="420"/>
        <v>0</v>
      </c>
      <c r="AN410" s="46">
        <f t="shared" si="421"/>
        <v>0</v>
      </c>
      <c r="AO410" s="10">
        <f t="shared" si="422"/>
        <v>0</v>
      </c>
      <c r="AP410" s="10">
        <f t="shared" si="423"/>
        <v>0</v>
      </c>
      <c r="AQ410" s="10">
        <f t="shared" si="424"/>
        <v>0</v>
      </c>
      <c r="AR410" s="10">
        <f t="shared" si="425"/>
        <v>0</v>
      </c>
      <c r="AS410" s="10">
        <f t="shared" si="426"/>
        <v>0</v>
      </c>
      <c r="AT410" s="10">
        <f t="shared" si="427"/>
        <v>0</v>
      </c>
      <c r="AU410" s="10">
        <f t="shared" si="428"/>
        <v>0</v>
      </c>
      <c r="AV410" s="10">
        <f t="shared" si="429"/>
        <v>0</v>
      </c>
      <c r="AW410" s="10">
        <f t="shared" si="430"/>
        <v>0</v>
      </c>
      <c r="AX410" s="10">
        <f t="shared" si="431"/>
        <v>0</v>
      </c>
    </row>
    <row r="411" spans="1:50" x14ac:dyDescent="0.2">
      <c r="A411" s="8">
        <v>11500</v>
      </c>
      <c r="B411" s="89" t="str">
        <f t="shared" si="383"/>
        <v>Campbelltown</v>
      </c>
      <c r="C411" s="9" t="str">
        <f t="shared" si="384"/>
        <v>MSWA</v>
      </c>
      <c r="D411" s="51" t="str">
        <f t="shared" si="385"/>
        <v>S</v>
      </c>
      <c r="E411" s="10">
        <f t="shared" si="386"/>
        <v>0</v>
      </c>
      <c r="F411" s="10">
        <f t="shared" si="387"/>
        <v>174078</v>
      </c>
      <c r="G411" s="10">
        <f t="shared" si="388"/>
        <v>63675</v>
      </c>
      <c r="H411" s="10">
        <f t="shared" si="389"/>
        <v>2.7338515901060072</v>
      </c>
      <c r="I411" s="10">
        <f t="shared" si="390"/>
        <v>311.89999999999998</v>
      </c>
      <c r="J411" s="10">
        <f t="shared" si="391"/>
        <v>558.1</v>
      </c>
      <c r="K411" s="10">
        <f t="shared" si="392"/>
        <v>357.52</v>
      </c>
      <c r="L411" s="10" t="str">
        <f t="shared" si="393"/>
        <v>Y</v>
      </c>
      <c r="M411" s="10">
        <f t="shared" si="394"/>
        <v>59508</v>
      </c>
      <c r="N411" s="10">
        <f t="shared" si="395"/>
        <v>59508</v>
      </c>
      <c r="O411" s="10">
        <f t="shared" si="396"/>
        <v>57935</v>
      </c>
      <c r="P411" s="10">
        <f t="shared" si="397"/>
        <v>0</v>
      </c>
      <c r="Q411" s="10">
        <f t="shared" si="398"/>
        <v>63675</v>
      </c>
      <c r="R411" s="10" t="str">
        <f t="shared" si="399"/>
        <v>Yes</v>
      </c>
      <c r="S411" s="10">
        <f t="shared" si="400"/>
        <v>0</v>
      </c>
      <c r="T411" s="10">
        <f t="shared" si="401"/>
        <v>0</v>
      </c>
      <c r="U411" s="10">
        <f t="shared" si="402"/>
        <v>0</v>
      </c>
      <c r="V411" s="10">
        <f t="shared" si="403"/>
        <v>0</v>
      </c>
      <c r="W411" s="10">
        <f t="shared" si="404"/>
        <v>0</v>
      </c>
      <c r="X411" s="10">
        <f t="shared" si="405"/>
        <v>0</v>
      </c>
      <c r="Y411" s="10">
        <f t="shared" si="406"/>
        <v>0</v>
      </c>
      <c r="Z411" s="10">
        <f t="shared" si="407"/>
        <v>0</v>
      </c>
      <c r="AA411" s="10">
        <f t="shared" si="408"/>
        <v>0</v>
      </c>
      <c r="AB411" s="10">
        <f t="shared" si="409"/>
        <v>0</v>
      </c>
      <c r="AC411" s="10">
        <f t="shared" si="410"/>
        <v>0</v>
      </c>
      <c r="AD411" s="10">
        <f t="shared" si="411"/>
        <v>0</v>
      </c>
      <c r="AE411" s="10">
        <f t="shared" si="412"/>
        <v>0</v>
      </c>
      <c r="AF411" s="10">
        <f t="shared" si="413"/>
        <v>0</v>
      </c>
      <c r="AG411" s="10">
        <f t="shared" si="414"/>
        <v>0</v>
      </c>
      <c r="AH411" s="10">
        <f t="shared" si="415"/>
        <v>0</v>
      </c>
      <c r="AI411" s="10">
        <f t="shared" si="416"/>
        <v>0</v>
      </c>
      <c r="AJ411" s="10">
        <f t="shared" si="417"/>
        <v>0</v>
      </c>
      <c r="AK411" s="10">
        <f t="shared" si="418"/>
        <v>0</v>
      </c>
      <c r="AL411" s="10">
        <f t="shared" si="419"/>
        <v>0</v>
      </c>
      <c r="AM411" s="10">
        <f t="shared" si="420"/>
        <v>0</v>
      </c>
      <c r="AN411" s="46">
        <f t="shared" si="421"/>
        <v>0</v>
      </c>
      <c r="AO411" s="10">
        <f t="shared" si="422"/>
        <v>0</v>
      </c>
      <c r="AP411" s="10">
        <f t="shared" si="423"/>
        <v>0</v>
      </c>
      <c r="AQ411" s="10">
        <f t="shared" si="424"/>
        <v>0</v>
      </c>
      <c r="AR411" s="10">
        <f t="shared" si="425"/>
        <v>0</v>
      </c>
      <c r="AS411" s="10">
        <f t="shared" si="426"/>
        <v>0</v>
      </c>
      <c r="AT411" s="10">
        <f t="shared" si="427"/>
        <v>0</v>
      </c>
      <c r="AU411" s="10">
        <f t="shared" si="428"/>
        <v>0</v>
      </c>
      <c r="AV411" s="10">
        <f t="shared" si="429"/>
        <v>0</v>
      </c>
      <c r="AW411" s="10">
        <f t="shared" si="430"/>
        <v>0</v>
      </c>
      <c r="AX411" s="10">
        <f t="shared" si="431"/>
        <v>0</v>
      </c>
    </row>
    <row r="412" spans="1:50" x14ac:dyDescent="0.2">
      <c r="A412" s="8">
        <v>11520</v>
      </c>
      <c r="B412" s="89" t="str">
        <f t="shared" si="383"/>
        <v>Canada Bay</v>
      </c>
      <c r="C412" s="9" t="str">
        <f t="shared" si="384"/>
        <v>SSROC</v>
      </c>
      <c r="D412" s="51" t="str">
        <f t="shared" si="385"/>
        <v>S</v>
      </c>
      <c r="E412" s="10">
        <f t="shared" si="386"/>
        <v>0</v>
      </c>
      <c r="F412" s="10">
        <f t="shared" si="387"/>
        <v>96550</v>
      </c>
      <c r="G412" s="10">
        <f t="shared" si="388"/>
        <v>38344</v>
      </c>
      <c r="H412" s="10">
        <f t="shared" si="389"/>
        <v>2.5179949926976843</v>
      </c>
      <c r="I412" s="10">
        <f t="shared" si="390"/>
        <v>19.899999999999999</v>
      </c>
      <c r="J412" s="10">
        <f t="shared" si="391"/>
        <v>4846.1000000000004</v>
      </c>
      <c r="K412" s="10">
        <f t="shared" si="392"/>
        <v>425</v>
      </c>
      <c r="L412" s="10" t="str">
        <f t="shared" si="393"/>
        <v>Y</v>
      </c>
      <c r="M412" s="10">
        <f t="shared" si="394"/>
        <v>37257</v>
      </c>
      <c r="N412" s="10">
        <f t="shared" si="395"/>
        <v>38344</v>
      </c>
      <c r="O412" s="10">
        <f t="shared" si="396"/>
        <v>38344</v>
      </c>
      <c r="P412" s="10">
        <f t="shared" si="397"/>
        <v>0</v>
      </c>
      <c r="Q412" s="10">
        <f t="shared" si="398"/>
        <v>38344</v>
      </c>
      <c r="R412" s="10" t="str">
        <f t="shared" si="399"/>
        <v>Yes</v>
      </c>
      <c r="S412" s="10" t="str">
        <f t="shared" si="400"/>
        <v>Community Recycling Centre Five Dock</v>
      </c>
      <c r="T412" s="10">
        <f t="shared" si="401"/>
        <v>0</v>
      </c>
      <c r="U412" s="10">
        <f t="shared" si="402"/>
        <v>0</v>
      </c>
      <c r="V412" s="10">
        <f t="shared" si="403"/>
        <v>0</v>
      </c>
      <c r="W412" s="10">
        <f t="shared" si="404"/>
        <v>0</v>
      </c>
      <c r="X412" s="10">
        <f t="shared" si="405"/>
        <v>0</v>
      </c>
      <c r="Y412" s="10">
        <f t="shared" si="406"/>
        <v>0</v>
      </c>
      <c r="Z412" s="10">
        <f t="shared" si="407"/>
        <v>0</v>
      </c>
      <c r="AA412" s="10">
        <f t="shared" si="408"/>
        <v>0</v>
      </c>
      <c r="AB412" s="10">
        <f t="shared" si="409"/>
        <v>0</v>
      </c>
      <c r="AC412" s="10">
        <f t="shared" si="410"/>
        <v>0</v>
      </c>
      <c r="AD412" s="10">
        <f t="shared" si="411"/>
        <v>0</v>
      </c>
      <c r="AE412" s="10">
        <f t="shared" si="412"/>
        <v>0</v>
      </c>
      <c r="AF412" s="10">
        <f t="shared" si="413"/>
        <v>0</v>
      </c>
      <c r="AG412" s="10">
        <f t="shared" si="414"/>
        <v>0</v>
      </c>
      <c r="AH412" s="10">
        <f t="shared" si="415"/>
        <v>0</v>
      </c>
      <c r="AI412" s="10">
        <f t="shared" si="416"/>
        <v>0</v>
      </c>
      <c r="AJ412" s="10">
        <f t="shared" si="417"/>
        <v>0</v>
      </c>
      <c r="AK412" s="10">
        <f t="shared" si="418"/>
        <v>0</v>
      </c>
      <c r="AL412" s="10">
        <f t="shared" si="419"/>
        <v>0</v>
      </c>
      <c r="AM412" s="10">
        <f t="shared" si="420"/>
        <v>0</v>
      </c>
      <c r="AN412" s="46">
        <f t="shared" si="421"/>
        <v>0</v>
      </c>
      <c r="AO412" s="10">
        <f t="shared" si="422"/>
        <v>0</v>
      </c>
      <c r="AP412" s="10">
        <f t="shared" si="423"/>
        <v>0</v>
      </c>
      <c r="AQ412" s="10">
        <f t="shared" si="424"/>
        <v>0</v>
      </c>
      <c r="AR412" s="10">
        <f t="shared" si="425"/>
        <v>0</v>
      </c>
      <c r="AS412" s="10">
        <f t="shared" si="426"/>
        <v>0</v>
      </c>
      <c r="AT412" s="10">
        <f t="shared" si="427"/>
        <v>0</v>
      </c>
      <c r="AU412" s="10">
        <f t="shared" si="428"/>
        <v>0</v>
      </c>
      <c r="AV412" s="10">
        <f t="shared" si="429"/>
        <v>0</v>
      </c>
      <c r="AW412" s="10">
        <f t="shared" si="430"/>
        <v>0</v>
      </c>
      <c r="AX412" s="10">
        <f t="shared" si="431"/>
        <v>0</v>
      </c>
    </row>
    <row r="413" spans="1:50" x14ac:dyDescent="0.2">
      <c r="A413" s="8">
        <v>11570</v>
      </c>
      <c r="B413" s="89" t="str">
        <f t="shared" si="383"/>
        <v>Canterbury-Bankstown</v>
      </c>
      <c r="C413" s="9" t="str">
        <f t="shared" si="384"/>
        <v>SSROC</v>
      </c>
      <c r="D413" s="51" t="str">
        <f t="shared" si="385"/>
        <v>S</v>
      </c>
      <c r="E413" s="10">
        <f t="shared" si="386"/>
        <v>0</v>
      </c>
      <c r="F413" s="10">
        <f t="shared" si="387"/>
        <v>380406</v>
      </c>
      <c r="G413" s="10">
        <f t="shared" si="388"/>
        <v>137601</v>
      </c>
      <c r="H413" s="10">
        <f t="shared" si="389"/>
        <v>2.7645583971046723</v>
      </c>
      <c r="I413" s="10">
        <f t="shared" si="390"/>
        <v>110.2</v>
      </c>
      <c r="J413" s="10">
        <f t="shared" si="391"/>
        <v>3450.8</v>
      </c>
      <c r="K413" s="10">
        <f t="shared" si="392"/>
        <v>565</v>
      </c>
      <c r="L413" s="10" t="str">
        <f t="shared" si="393"/>
        <v>Y</v>
      </c>
      <c r="M413" s="10">
        <f t="shared" si="394"/>
        <v>129115</v>
      </c>
      <c r="N413" s="10">
        <f t="shared" si="395"/>
        <v>129115</v>
      </c>
      <c r="O413" s="10">
        <f t="shared" si="396"/>
        <v>93102</v>
      </c>
      <c r="P413" s="10">
        <f t="shared" si="397"/>
        <v>0</v>
      </c>
      <c r="Q413" s="10">
        <f t="shared" si="398"/>
        <v>137601</v>
      </c>
      <c r="R413" s="10" t="str">
        <f t="shared" si="399"/>
        <v>Yes</v>
      </c>
      <c r="S413" s="10">
        <f t="shared" si="400"/>
        <v>0</v>
      </c>
      <c r="T413" s="10">
        <f t="shared" si="401"/>
        <v>0</v>
      </c>
      <c r="U413" s="10">
        <f t="shared" si="402"/>
        <v>0</v>
      </c>
      <c r="V413" s="10">
        <f t="shared" si="403"/>
        <v>0</v>
      </c>
      <c r="W413" s="10">
        <f t="shared" si="404"/>
        <v>0</v>
      </c>
      <c r="X413" s="10">
        <f t="shared" si="405"/>
        <v>0</v>
      </c>
      <c r="Y413" s="10">
        <f t="shared" si="406"/>
        <v>0</v>
      </c>
      <c r="Z413" s="10">
        <f t="shared" si="407"/>
        <v>0</v>
      </c>
      <c r="AA413" s="10">
        <f t="shared" si="408"/>
        <v>0</v>
      </c>
      <c r="AB413" s="10">
        <f t="shared" si="409"/>
        <v>0</v>
      </c>
      <c r="AC413" s="10">
        <f t="shared" si="410"/>
        <v>0</v>
      </c>
      <c r="AD413" s="10">
        <f t="shared" si="411"/>
        <v>0</v>
      </c>
      <c r="AE413" s="10">
        <f t="shared" si="412"/>
        <v>0</v>
      </c>
      <c r="AF413" s="10">
        <f t="shared" si="413"/>
        <v>0</v>
      </c>
      <c r="AG413" s="10">
        <f t="shared" si="414"/>
        <v>0</v>
      </c>
      <c r="AH413" s="10">
        <f t="shared" si="415"/>
        <v>0</v>
      </c>
      <c r="AI413" s="10">
        <f t="shared" si="416"/>
        <v>0</v>
      </c>
      <c r="AJ413" s="10">
        <f t="shared" si="417"/>
        <v>0</v>
      </c>
      <c r="AK413" s="10">
        <f t="shared" si="418"/>
        <v>0</v>
      </c>
      <c r="AL413" s="10">
        <f t="shared" si="419"/>
        <v>0</v>
      </c>
      <c r="AM413" s="10">
        <f t="shared" si="420"/>
        <v>0</v>
      </c>
      <c r="AN413" s="46">
        <f t="shared" si="421"/>
        <v>0</v>
      </c>
      <c r="AO413" s="10">
        <f t="shared" si="422"/>
        <v>0</v>
      </c>
      <c r="AP413" s="10">
        <f t="shared" si="423"/>
        <v>0</v>
      </c>
      <c r="AQ413" s="10">
        <f t="shared" si="424"/>
        <v>0</v>
      </c>
      <c r="AR413" s="10">
        <f t="shared" si="425"/>
        <v>0</v>
      </c>
      <c r="AS413" s="10">
        <f t="shared" si="426"/>
        <v>0</v>
      </c>
      <c r="AT413" s="10">
        <f t="shared" si="427"/>
        <v>0</v>
      </c>
      <c r="AU413" s="10">
        <f t="shared" si="428"/>
        <v>0</v>
      </c>
      <c r="AV413" s="10">
        <f t="shared" si="429"/>
        <v>0</v>
      </c>
      <c r="AW413" s="10">
        <f t="shared" si="430"/>
        <v>0</v>
      </c>
      <c r="AX413" s="10">
        <f t="shared" si="431"/>
        <v>0</v>
      </c>
    </row>
    <row r="414" spans="1:50" x14ac:dyDescent="0.2">
      <c r="A414" s="8">
        <v>12380</v>
      </c>
      <c r="B414" s="89" t="str">
        <f t="shared" si="383"/>
        <v>Cumberland</v>
      </c>
      <c r="C414" s="9" t="str">
        <f t="shared" si="384"/>
        <v>WSROC</v>
      </c>
      <c r="D414" s="51" t="str">
        <f t="shared" si="385"/>
        <v>S</v>
      </c>
      <c r="E414" s="10">
        <f t="shared" si="386"/>
        <v>0</v>
      </c>
      <c r="F414" s="10">
        <f t="shared" si="387"/>
        <v>242674</v>
      </c>
      <c r="G414" s="10">
        <f t="shared" si="388"/>
        <v>76450</v>
      </c>
      <c r="H414" s="10">
        <f t="shared" si="389"/>
        <v>3.1742838456507521</v>
      </c>
      <c r="I414" s="10">
        <f t="shared" si="390"/>
        <v>71.599999999999994</v>
      </c>
      <c r="J414" s="10">
        <f t="shared" si="391"/>
        <v>3391.6</v>
      </c>
      <c r="K414" s="10">
        <f t="shared" si="392"/>
        <v>500</v>
      </c>
      <c r="L414" s="10" t="str">
        <f t="shared" si="393"/>
        <v>Y</v>
      </c>
      <c r="M414" s="10">
        <f t="shared" si="394"/>
        <v>75365</v>
      </c>
      <c r="N414" s="10">
        <f t="shared" si="395"/>
        <v>75365</v>
      </c>
      <c r="O414" s="10">
        <f t="shared" si="396"/>
        <v>33219</v>
      </c>
      <c r="P414" s="10">
        <f t="shared" si="397"/>
        <v>0</v>
      </c>
      <c r="Q414" s="10">
        <f t="shared" si="398"/>
        <v>76450</v>
      </c>
      <c r="R414" s="10" t="str">
        <f t="shared" si="399"/>
        <v>Yes</v>
      </c>
      <c r="S414" s="10">
        <f t="shared" si="400"/>
        <v>0</v>
      </c>
      <c r="T414" s="10">
        <f t="shared" si="401"/>
        <v>0</v>
      </c>
      <c r="U414" s="10">
        <f t="shared" si="402"/>
        <v>0</v>
      </c>
      <c r="V414" s="10">
        <f t="shared" si="403"/>
        <v>0</v>
      </c>
      <c r="W414" s="10">
        <f t="shared" si="404"/>
        <v>0</v>
      </c>
      <c r="X414" s="10">
        <f t="shared" si="405"/>
        <v>0</v>
      </c>
      <c r="Y414" s="10">
        <f t="shared" si="406"/>
        <v>0</v>
      </c>
      <c r="Z414" s="10">
        <f t="shared" si="407"/>
        <v>0</v>
      </c>
      <c r="AA414" s="10">
        <f t="shared" si="408"/>
        <v>0</v>
      </c>
      <c r="AB414" s="10">
        <f t="shared" si="409"/>
        <v>0</v>
      </c>
      <c r="AC414" s="10">
        <f t="shared" si="410"/>
        <v>0</v>
      </c>
      <c r="AD414" s="10">
        <f t="shared" si="411"/>
        <v>0</v>
      </c>
      <c r="AE414" s="10">
        <f t="shared" si="412"/>
        <v>0</v>
      </c>
      <c r="AF414" s="10">
        <f t="shared" si="413"/>
        <v>0</v>
      </c>
      <c r="AG414" s="10">
        <f t="shared" si="414"/>
        <v>0</v>
      </c>
      <c r="AH414" s="10">
        <f t="shared" si="415"/>
        <v>0</v>
      </c>
      <c r="AI414" s="10">
        <f t="shared" si="416"/>
        <v>0</v>
      </c>
      <c r="AJ414" s="10">
        <f t="shared" si="417"/>
        <v>0</v>
      </c>
      <c r="AK414" s="10">
        <f t="shared" si="418"/>
        <v>0</v>
      </c>
      <c r="AL414" s="10">
        <f t="shared" si="419"/>
        <v>0</v>
      </c>
      <c r="AM414" s="10">
        <f t="shared" si="420"/>
        <v>0</v>
      </c>
      <c r="AN414" s="46">
        <f t="shared" si="421"/>
        <v>0</v>
      </c>
      <c r="AO414" s="10">
        <f t="shared" si="422"/>
        <v>0</v>
      </c>
      <c r="AP414" s="10">
        <f t="shared" si="423"/>
        <v>0</v>
      </c>
      <c r="AQ414" s="10">
        <f t="shared" si="424"/>
        <v>0</v>
      </c>
      <c r="AR414" s="10">
        <f t="shared" si="425"/>
        <v>0</v>
      </c>
      <c r="AS414" s="10">
        <f t="shared" si="426"/>
        <v>0</v>
      </c>
      <c r="AT414" s="10">
        <f t="shared" si="427"/>
        <v>0</v>
      </c>
      <c r="AU414" s="10">
        <f t="shared" si="428"/>
        <v>0</v>
      </c>
      <c r="AV414" s="10">
        <f t="shared" si="429"/>
        <v>0</v>
      </c>
      <c r="AW414" s="10">
        <f t="shared" si="430"/>
        <v>0</v>
      </c>
      <c r="AX414" s="10">
        <f t="shared" si="431"/>
        <v>0</v>
      </c>
    </row>
    <row r="415" spans="1:50" x14ac:dyDescent="0.2">
      <c r="A415" s="8">
        <v>12850</v>
      </c>
      <c r="B415" s="89" t="str">
        <f t="shared" si="383"/>
        <v>Fairfield</v>
      </c>
      <c r="C415" s="9" t="str">
        <f t="shared" si="384"/>
        <v>WSROC</v>
      </c>
      <c r="D415" s="51" t="str">
        <f t="shared" si="385"/>
        <v>S</v>
      </c>
      <c r="E415" s="10">
        <f t="shared" si="386"/>
        <v>0</v>
      </c>
      <c r="F415" s="10">
        <f t="shared" si="387"/>
        <v>210825</v>
      </c>
      <c r="G415" s="10">
        <f t="shared" si="388"/>
        <v>61956</v>
      </c>
      <c r="H415" s="10">
        <f t="shared" si="389"/>
        <v>3.4028181289947703</v>
      </c>
      <c r="I415" s="10">
        <f t="shared" si="390"/>
        <v>101.5</v>
      </c>
      <c r="J415" s="10">
        <f t="shared" si="391"/>
        <v>2077</v>
      </c>
      <c r="K415" s="10">
        <f t="shared" si="392"/>
        <v>495</v>
      </c>
      <c r="L415" s="10" t="str">
        <f t="shared" si="393"/>
        <v>Y</v>
      </c>
      <c r="M415" s="10">
        <f t="shared" si="394"/>
        <v>57762</v>
      </c>
      <c r="N415" s="10">
        <f t="shared" si="395"/>
        <v>58304</v>
      </c>
      <c r="O415" s="10">
        <f t="shared" si="396"/>
        <v>0</v>
      </c>
      <c r="P415" s="10">
        <f t="shared" si="397"/>
        <v>0</v>
      </c>
      <c r="Q415" s="10">
        <f t="shared" si="398"/>
        <v>61956</v>
      </c>
      <c r="R415" s="10" t="str">
        <f t="shared" si="399"/>
        <v>Yes</v>
      </c>
      <c r="S415" s="10" t="str">
        <f t="shared" si="400"/>
        <v>Recycling Drop Off Centre</v>
      </c>
      <c r="T415" s="10">
        <f t="shared" si="401"/>
        <v>0</v>
      </c>
      <c r="U415" s="10">
        <f t="shared" si="402"/>
        <v>0</v>
      </c>
      <c r="V415" s="10">
        <f t="shared" si="403"/>
        <v>0</v>
      </c>
      <c r="W415" s="10">
        <f t="shared" si="404"/>
        <v>0</v>
      </c>
      <c r="X415" s="10">
        <f t="shared" si="405"/>
        <v>0</v>
      </c>
      <c r="Y415" s="10">
        <f t="shared" si="406"/>
        <v>0</v>
      </c>
      <c r="Z415" s="10">
        <f t="shared" si="407"/>
        <v>0</v>
      </c>
      <c r="AA415" s="10">
        <f t="shared" si="408"/>
        <v>0</v>
      </c>
      <c r="AB415" s="10">
        <f t="shared" si="409"/>
        <v>0</v>
      </c>
      <c r="AC415" s="10">
        <f t="shared" si="410"/>
        <v>0</v>
      </c>
      <c r="AD415" s="10">
        <f t="shared" si="411"/>
        <v>0</v>
      </c>
      <c r="AE415" s="10">
        <f t="shared" si="412"/>
        <v>0</v>
      </c>
      <c r="AF415" s="10">
        <f t="shared" si="413"/>
        <v>0</v>
      </c>
      <c r="AG415" s="10">
        <f t="shared" si="414"/>
        <v>0</v>
      </c>
      <c r="AH415" s="10">
        <f t="shared" si="415"/>
        <v>0</v>
      </c>
      <c r="AI415" s="10">
        <f t="shared" si="416"/>
        <v>0</v>
      </c>
      <c r="AJ415" s="10">
        <f t="shared" si="417"/>
        <v>0</v>
      </c>
      <c r="AK415" s="10">
        <f t="shared" si="418"/>
        <v>0</v>
      </c>
      <c r="AL415" s="10">
        <f t="shared" si="419"/>
        <v>0</v>
      </c>
      <c r="AM415" s="10">
        <f t="shared" si="420"/>
        <v>0</v>
      </c>
      <c r="AN415" s="46">
        <f t="shared" si="421"/>
        <v>0</v>
      </c>
      <c r="AO415" s="10">
        <f t="shared" si="422"/>
        <v>0</v>
      </c>
      <c r="AP415" s="10">
        <f t="shared" si="423"/>
        <v>0</v>
      </c>
      <c r="AQ415" s="10">
        <f t="shared" si="424"/>
        <v>0</v>
      </c>
      <c r="AR415" s="10">
        <f t="shared" si="425"/>
        <v>0</v>
      </c>
      <c r="AS415" s="10">
        <f t="shared" si="426"/>
        <v>0</v>
      </c>
      <c r="AT415" s="10">
        <f t="shared" si="427"/>
        <v>0</v>
      </c>
      <c r="AU415" s="10">
        <f t="shared" si="428"/>
        <v>0</v>
      </c>
      <c r="AV415" s="10">
        <f t="shared" si="429"/>
        <v>0</v>
      </c>
      <c r="AW415" s="10">
        <f t="shared" si="430"/>
        <v>0</v>
      </c>
      <c r="AX415" s="10">
        <f t="shared" si="431"/>
        <v>0</v>
      </c>
    </row>
    <row r="416" spans="1:50" x14ac:dyDescent="0.2">
      <c r="A416" s="8">
        <v>12930</v>
      </c>
      <c r="B416" s="89" t="str">
        <f t="shared" si="383"/>
        <v>Georges River</v>
      </c>
      <c r="C416" s="9" t="str">
        <f t="shared" si="384"/>
        <v>SSROC</v>
      </c>
      <c r="D416" s="51" t="str">
        <f t="shared" si="385"/>
        <v>S</v>
      </c>
      <c r="E416" s="10">
        <f t="shared" si="386"/>
        <v>0</v>
      </c>
      <c r="F416" s="10">
        <f t="shared" si="387"/>
        <v>160272</v>
      </c>
      <c r="G416" s="10">
        <f t="shared" si="388"/>
        <v>61271</v>
      </c>
      <c r="H416" s="10">
        <f t="shared" si="389"/>
        <v>2.6157888723866103</v>
      </c>
      <c r="I416" s="10">
        <f t="shared" si="390"/>
        <v>38.299999999999997</v>
      </c>
      <c r="J416" s="10">
        <f t="shared" si="391"/>
        <v>4179.6000000000004</v>
      </c>
      <c r="K416" s="10">
        <f t="shared" si="392"/>
        <v>464.88</v>
      </c>
      <c r="L416" s="10" t="str">
        <f t="shared" si="393"/>
        <v>Y</v>
      </c>
      <c r="M416" s="10">
        <f t="shared" si="394"/>
        <v>57705</v>
      </c>
      <c r="N416" s="10">
        <f t="shared" si="395"/>
        <v>61271</v>
      </c>
      <c r="O416" s="10">
        <f t="shared" si="396"/>
        <v>57705</v>
      </c>
      <c r="P416" s="10">
        <f t="shared" si="397"/>
        <v>0</v>
      </c>
      <c r="Q416" s="10">
        <f t="shared" si="398"/>
        <v>61271</v>
      </c>
      <c r="R416" s="10" t="str">
        <f t="shared" si="399"/>
        <v>Yes</v>
      </c>
      <c r="S416" s="10" t="str">
        <f t="shared" si="400"/>
        <v>Household chemical cleanout</v>
      </c>
      <c r="T416" s="10" t="str">
        <f t="shared" si="401"/>
        <v>Techwaste drop off</v>
      </c>
      <c r="U416" s="10" t="str">
        <f t="shared" si="402"/>
        <v>Small scale recycling stations</v>
      </c>
      <c r="V416" s="10">
        <f t="shared" si="403"/>
        <v>0</v>
      </c>
      <c r="W416" s="10">
        <f t="shared" si="404"/>
        <v>0</v>
      </c>
      <c r="X416" s="10">
        <f t="shared" si="405"/>
        <v>0</v>
      </c>
      <c r="Y416" s="10">
        <f t="shared" si="406"/>
        <v>0</v>
      </c>
      <c r="Z416" s="10">
        <f t="shared" si="407"/>
        <v>0</v>
      </c>
      <c r="AA416" s="10">
        <f t="shared" si="408"/>
        <v>0</v>
      </c>
      <c r="AB416" s="10">
        <f t="shared" si="409"/>
        <v>0</v>
      </c>
      <c r="AC416" s="10">
        <f t="shared" si="410"/>
        <v>0</v>
      </c>
      <c r="AD416" s="10">
        <f t="shared" si="411"/>
        <v>0</v>
      </c>
      <c r="AE416" s="10">
        <f t="shared" si="412"/>
        <v>0</v>
      </c>
      <c r="AF416" s="10">
        <f t="shared" si="413"/>
        <v>0</v>
      </c>
      <c r="AG416" s="10">
        <f t="shared" si="414"/>
        <v>0</v>
      </c>
      <c r="AH416" s="10">
        <f t="shared" si="415"/>
        <v>0</v>
      </c>
      <c r="AI416" s="10">
        <f t="shared" si="416"/>
        <v>0</v>
      </c>
      <c r="AJ416" s="10">
        <f t="shared" si="417"/>
        <v>0</v>
      </c>
      <c r="AK416" s="10">
        <f t="shared" si="418"/>
        <v>0</v>
      </c>
      <c r="AL416" s="10">
        <f t="shared" si="419"/>
        <v>0</v>
      </c>
      <c r="AM416" s="10">
        <f t="shared" si="420"/>
        <v>0</v>
      </c>
      <c r="AN416" s="46">
        <f t="shared" si="421"/>
        <v>0</v>
      </c>
      <c r="AO416" s="10">
        <f t="shared" si="422"/>
        <v>0</v>
      </c>
      <c r="AP416" s="10">
        <f t="shared" si="423"/>
        <v>0</v>
      </c>
      <c r="AQ416" s="10">
        <f t="shared" si="424"/>
        <v>0</v>
      </c>
      <c r="AR416" s="10">
        <f t="shared" si="425"/>
        <v>0</v>
      </c>
      <c r="AS416" s="10">
        <f t="shared" si="426"/>
        <v>0</v>
      </c>
      <c r="AT416" s="10">
        <f t="shared" si="427"/>
        <v>0</v>
      </c>
      <c r="AU416" s="10">
        <f t="shared" si="428"/>
        <v>0</v>
      </c>
      <c r="AV416" s="10">
        <f t="shared" si="429"/>
        <v>0</v>
      </c>
      <c r="AW416" s="10">
        <f t="shared" si="430"/>
        <v>0</v>
      </c>
      <c r="AX416" s="10">
        <f t="shared" si="431"/>
        <v>0</v>
      </c>
    </row>
    <row r="417" spans="1:50" x14ac:dyDescent="0.2">
      <c r="A417" s="8">
        <v>14000</v>
      </c>
      <c r="B417" s="89" t="str">
        <f t="shared" si="383"/>
        <v>Hornsby</v>
      </c>
      <c r="C417" s="9" t="str">
        <f t="shared" si="384"/>
        <v>NSROC</v>
      </c>
      <c r="D417" s="51" t="str">
        <f t="shared" si="385"/>
        <v>S</v>
      </c>
      <c r="E417" s="10">
        <f t="shared" si="386"/>
        <v>0</v>
      </c>
      <c r="F417" s="10">
        <f t="shared" si="387"/>
        <v>152419</v>
      </c>
      <c r="G417" s="10">
        <f t="shared" si="388"/>
        <v>52488</v>
      </c>
      <c r="H417" s="10">
        <f t="shared" si="389"/>
        <v>2.9038827922572779</v>
      </c>
      <c r="I417" s="10">
        <f t="shared" si="390"/>
        <v>455</v>
      </c>
      <c r="J417" s="10">
        <f t="shared" si="391"/>
        <v>335</v>
      </c>
      <c r="K417" s="10">
        <f t="shared" si="392"/>
        <v>536</v>
      </c>
      <c r="L417" s="10" t="str">
        <f t="shared" si="393"/>
        <v>Y</v>
      </c>
      <c r="M417" s="10">
        <f t="shared" si="394"/>
        <v>52488</v>
      </c>
      <c r="N417" s="10">
        <f t="shared" si="395"/>
        <v>52488</v>
      </c>
      <c r="O417" s="10">
        <f t="shared" si="396"/>
        <v>52488</v>
      </c>
      <c r="P417" s="10">
        <f t="shared" si="397"/>
        <v>0</v>
      </c>
      <c r="Q417" s="10">
        <f t="shared" si="398"/>
        <v>52488</v>
      </c>
      <c r="R417" s="10" t="str">
        <f t="shared" si="399"/>
        <v>Yes</v>
      </c>
      <c r="S417" s="10" t="str">
        <f t="shared" si="400"/>
        <v>CRC - 29 Sefton Road Thornleigh</v>
      </c>
      <c r="T417" s="10" t="str">
        <f t="shared" si="401"/>
        <v>Council depot - 5 Beaumont Road, Mt Kuring-gai</v>
      </c>
      <c r="U417" s="10">
        <f t="shared" si="402"/>
        <v>0</v>
      </c>
      <c r="V417" s="10">
        <f t="shared" si="403"/>
        <v>0</v>
      </c>
      <c r="W417" s="10">
        <f t="shared" si="404"/>
        <v>0</v>
      </c>
      <c r="X417" s="10">
        <f t="shared" si="405"/>
        <v>0</v>
      </c>
      <c r="Y417" s="10">
        <f t="shared" si="406"/>
        <v>0</v>
      </c>
      <c r="Z417" s="10">
        <f t="shared" si="407"/>
        <v>0</v>
      </c>
      <c r="AA417" s="10">
        <f t="shared" si="408"/>
        <v>0</v>
      </c>
      <c r="AB417" s="10">
        <f t="shared" si="409"/>
        <v>0</v>
      </c>
      <c r="AC417" s="10">
        <f t="shared" si="410"/>
        <v>0</v>
      </c>
      <c r="AD417" s="10">
        <f t="shared" si="411"/>
        <v>0</v>
      </c>
      <c r="AE417" s="10">
        <f t="shared" si="412"/>
        <v>0</v>
      </c>
      <c r="AF417" s="10">
        <f t="shared" si="413"/>
        <v>0</v>
      </c>
      <c r="AG417" s="10">
        <f t="shared" si="414"/>
        <v>0</v>
      </c>
      <c r="AH417" s="10">
        <f t="shared" si="415"/>
        <v>0</v>
      </c>
      <c r="AI417" s="10">
        <f t="shared" si="416"/>
        <v>0</v>
      </c>
      <c r="AJ417" s="10">
        <f t="shared" si="417"/>
        <v>0</v>
      </c>
      <c r="AK417" s="10">
        <f t="shared" si="418"/>
        <v>0</v>
      </c>
      <c r="AL417" s="10">
        <f t="shared" si="419"/>
        <v>0</v>
      </c>
      <c r="AM417" s="10">
        <f t="shared" si="420"/>
        <v>0</v>
      </c>
      <c r="AN417" s="46">
        <f t="shared" si="421"/>
        <v>0</v>
      </c>
      <c r="AO417" s="10">
        <f t="shared" si="422"/>
        <v>0</v>
      </c>
      <c r="AP417" s="10">
        <f t="shared" si="423"/>
        <v>0</v>
      </c>
      <c r="AQ417" s="10">
        <f t="shared" si="424"/>
        <v>0</v>
      </c>
      <c r="AR417" s="10">
        <f t="shared" si="425"/>
        <v>0</v>
      </c>
      <c r="AS417" s="10">
        <f t="shared" si="426"/>
        <v>0</v>
      </c>
      <c r="AT417" s="10">
        <f t="shared" si="427"/>
        <v>0</v>
      </c>
      <c r="AU417" s="10">
        <f t="shared" si="428"/>
        <v>0</v>
      </c>
      <c r="AV417" s="10">
        <f t="shared" si="429"/>
        <v>0</v>
      </c>
      <c r="AW417" s="10">
        <f t="shared" si="430"/>
        <v>0</v>
      </c>
      <c r="AX417" s="10">
        <f t="shared" si="431"/>
        <v>0</v>
      </c>
    </row>
    <row r="418" spans="1:50" x14ac:dyDescent="0.2">
      <c r="A418" s="8">
        <v>14100</v>
      </c>
      <c r="B418" s="89" t="str">
        <f t="shared" si="383"/>
        <v>Hunters Hill</v>
      </c>
      <c r="C418" s="9" t="str">
        <f t="shared" si="384"/>
        <v>NSROC</v>
      </c>
      <c r="D418" s="51" t="str">
        <f t="shared" si="385"/>
        <v>S</v>
      </c>
      <c r="E418" s="10">
        <f t="shared" si="386"/>
        <v>0</v>
      </c>
      <c r="F418" s="10">
        <f t="shared" si="387"/>
        <v>14962</v>
      </c>
      <c r="G418" s="10">
        <f t="shared" si="388"/>
        <v>5237</v>
      </c>
      <c r="H418" s="10">
        <f t="shared" si="389"/>
        <v>2.8569791865571892</v>
      </c>
      <c r="I418" s="10">
        <f t="shared" si="390"/>
        <v>5.7</v>
      </c>
      <c r="J418" s="10">
        <f t="shared" si="391"/>
        <v>2617.1999999999998</v>
      </c>
      <c r="K418" s="10">
        <f t="shared" si="392"/>
        <v>555</v>
      </c>
      <c r="L418" s="10" t="str">
        <f t="shared" si="393"/>
        <v>Y</v>
      </c>
      <c r="M418" s="10">
        <f t="shared" si="394"/>
        <v>4926</v>
      </c>
      <c r="N418" s="10">
        <f t="shared" si="395"/>
        <v>4844</v>
      </c>
      <c r="O418" s="10">
        <f t="shared" si="396"/>
        <v>4693</v>
      </c>
      <c r="P418" s="10">
        <f t="shared" si="397"/>
        <v>0</v>
      </c>
      <c r="Q418" s="10">
        <f t="shared" si="398"/>
        <v>5237</v>
      </c>
      <c r="R418" s="10" t="str">
        <f t="shared" si="399"/>
        <v>No</v>
      </c>
      <c r="S418" s="10">
        <f t="shared" si="400"/>
        <v>0</v>
      </c>
      <c r="T418" s="10">
        <f t="shared" si="401"/>
        <v>0</v>
      </c>
      <c r="U418" s="10">
        <f t="shared" si="402"/>
        <v>0</v>
      </c>
      <c r="V418" s="10">
        <f t="shared" si="403"/>
        <v>0</v>
      </c>
      <c r="W418" s="10">
        <f t="shared" si="404"/>
        <v>0</v>
      </c>
      <c r="X418" s="10">
        <f t="shared" si="405"/>
        <v>0</v>
      </c>
      <c r="Y418" s="10">
        <f t="shared" si="406"/>
        <v>0</v>
      </c>
      <c r="Z418" s="10">
        <f t="shared" si="407"/>
        <v>0</v>
      </c>
      <c r="AA418" s="10">
        <f t="shared" si="408"/>
        <v>0</v>
      </c>
      <c r="AB418" s="10">
        <f t="shared" si="409"/>
        <v>0</v>
      </c>
      <c r="AC418" s="10">
        <f t="shared" si="410"/>
        <v>0</v>
      </c>
      <c r="AD418" s="10">
        <f t="shared" si="411"/>
        <v>0</v>
      </c>
      <c r="AE418" s="10">
        <f t="shared" si="412"/>
        <v>0</v>
      </c>
      <c r="AF418" s="10">
        <f t="shared" si="413"/>
        <v>0</v>
      </c>
      <c r="AG418" s="10">
        <f t="shared" si="414"/>
        <v>0</v>
      </c>
      <c r="AH418" s="10">
        <f t="shared" si="415"/>
        <v>0</v>
      </c>
      <c r="AI418" s="10">
        <f t="shared" si="416"/>
        <v>0</v>
      </c>
      <c r="AJ418" s="10">
        <f t="shared" si="417"/>
        <v>0</v>
      </c>
      <c r="AK418" s="10">
        <f t="shared" si="418"/>
        <v>0</v>
      </c>
      <c r="AL418" s="10">
        <f t="shared" si="419"/>
        <v>0</v>
      </c>
      <c r="AM418" s="10">
        <f t="shared" si="420"/>
        <v>0</v>
      </c>
      <c r="AN418" s="46">
        <f t="shared" si="421"/>
        <v>0</v>
      </c>
      <c r="AO418" s="10">
        <f t="shared" si="422"/>
        <v>0</v>
      </c>
      <c r="AP418" s="10">
        <f t="shared" si="423"/>
        <v>0</v>
      </c>
      <c r="AQ418" s="10">
        <f t="shared" si="424"/>
        <v>0</v>
      </c>
      <c r="AR418" s="10">
        <f t="shared" si="425"/>
        <v>0</v>
      </c>
      <c r="AS418" s="10">
        <f t="shared" si="426"/>
        <v>0</v>
      </c>
      <c r="AT418" s="10">
        <f t="shared" si="427"/>
        <v>0</v>
      </c>
      <c r="AU418" s="10">
        <f t="shared" si="428"/>
        <v>0</v>
      </c>
      <c r="AV418" s="10">
        <f t="shared" si="429"/>
        <v>0</v>
      </c>
      <c r="AW418" s="10">
        <f t="shared" si="430"/>
        <v>0</v>
      </c>
      <c r="AX418" s="10">
        <f t="shared" si="431"/>
        <v>0</v>
      </c>
    </row>
    <row r="419" spans="1:50" x14ac:dyDescent="0.2">
      <c r="A419" s="8">
        <v>14170</v>
      </c>
      <c r="B419" s="89" t="str">
        <f t="shared" si="383"/>
        <v>Inner West</v>
      </c>
      <c r="C419" s="9" t="str">
        <f t="shared" si="384"/>
        <v>SSROC</v>
      </c>
      <c r="D419" s="51" t="str">
        <f t="shared" si="385"/>
        <v>S</v>
      </c>
      <c r="E419" s="10">
        <f t="shared" si="386"/>
        <v>0</v>
      </c>
      <c r="F419" s="10">
        <f t="shared" si="387"/>
        <v>201880</v>
      </c>
      <c r="G419" s="10">
        <f t="shared" si="388"/>
        <v>78331</v>
      </c>
      <c r="H419" s="10">
        <f t="shared" si="389"/>
        <v>2.5772682590545251</v>
      </c>
      <c r="I419" s="10">
        <f t="shared" si="390"/>
        <v>35.4</v>
      </c>
      <c r="J419" s="10">
        <f t="shared" si="391"/>
        <v>5707.5</v>
      </c>
      <c r="K419" s="10">
        <f t="shared" si="392"/>
        <v>544</v>
      </c>
      <c r="L419" s="10" t="str">
        <f t="shared" si="393"/>
        <v>Y</v>
      </c>
      <c r="M419" s="10">
        <f t="shared" si="394"/>
        <v>70082</v>
      </c>
      <c r="N419" s="10">
        <f t="shared" si="395"/>
        <v>68490</v>
      </c>
      <c r="O419" s="10">
        <f t="shared" si="396"/>
        <v>34458</v>
      </c>
      <c r="P419" s="10">
        <f t="shared" si="397"/>
        <v>0</v>
      </c>
      <c r="Q419" s="10">
        <f t="shared" si="398"/>
        <v>78331</v>
      </c>
      <c r="R419" s="10" t="str">
        <f t="shared" si="399"/>
        <v>Yes</v>
      </c>
      <c r="S419" s="10" t="str">
        <f t="shared" si="400"/>
        <v>Weekend Transfer Station, 50-54 Moore Street, Leichhardt</v>
      </c>
      <c r="T419" s="10" t="str">
        <f t="shared" si="401"/>
        <v>Community Recycling Centre, 15-17 Unwins Bridge Road, St Peters</v>
      </c>
      <c r="U419" s="10">
        <f t="shared" si="402"/>
        <v>0</v>
      </c>
      <c r="V419" s="10">
        <f t="shared" si="403"/>
        <v>0</v>
      </c>
      <c r="W419" s="10">
        <f t="shared" si="404"/>
        <v>0</v>
      </c>
      <c r="X419" s="10">
        <f t="shared" si="405"/>
        <v>0</v>
      </c>
      <c r="Y419" s="10">
        <f t="shared" si="406"/>
        <v>0</v>
      </c>
      <c r="Z419" s="10">
        <f t="shared" si="407"/>
        <v>0</v>
      </c>
      <c r="AA419" s="10">
        <f t="shared" si="408"/>
        <v>0</v>
      </c>
      <c r="AB419" s="10">
        <f t="shared" si="409"/>
        <v>0</v>
      </c>
      <c r="AC419" s="10">
        <f t="shared" si="410"/>
        <v>0</v>
      </c>
      <c r="AD419" s="10">
        <f t="shared" si="411"/>
        <v>0</v>
      </c>
      <c r="AE419" s="10">
        <f t="shared" si="412"/>
        <v>0</v>
      </c>
      <c r="AF419" s="10">
        <f t="shared" si="413"/>
        <v>0</v>
      </c>
      <c r="AG419" s="10">
        <f t="shared" si="414"/>
        <v>0</v>
      </c>
      <c r="AH419" s="10">
        <f t="shared" si="415"/>
        <v>0</v>
      </c>
      <c r="AI419" s="10">
        <f t="shared" si="416"/>
        <v>0</v>
      </c>
      <c r="AJ419" s="10">
        <f t="shared" si="417"/>
        <v>0</v>
      </c>
      <c r="AK419" s="10">
        <f t="shared" si="418"/>
        <v>0</v>
      </c>
      <c r="AL419" s="10">
        <f t="shared" si="419"/>
        <v>0</v>
      </c>
      <c r="AM419" s="10">
        <f t="shared" si="420"/>
        <v>0</v>
      </c>
      <c r="AN419" s="46">
        <f t="shared" si="421"/>
        <v>0</v>
      </c>
      <c r="AO419" s="10">
        <f t="shared" si="422"/>
        <v>0</v>
      </c>
      <c r="AP419" s="10">
        <f t="shared" si="423"/>
        <v>0</v>
      </c>
      <c r="AQ419" s="10">
        <f t="shared" si="424"/>
        <v>0</v>
      </c>
      <c r="AR419" s="10">
        <f t="shared" si="425"/>
        <v>0</v>
      </c>
      <c r="AS419" s="10">
        <f t="shared" si="426"/>
        <v>0</v>
      </c>
      <c r="AT419" s="10">
        <f t="shared" si="427"/>
        <v>0</v>
      </c>
      <c r="AU419" s="10">
        <f t="shared" si="428"/>
        <v>0</v>
      </c>
      <c r="AV419" s="10">
        <f t="shared" si="429"/>
        <v>0</v>
      </c>
      <c r="AW419" s="10">
        <f t="shared" si="430"/>
        <v>0</v>
      </c>
      <c r="AX419" s="10">
        <f t="shared" si="431"/>
        <v>0</v>
      </c>
    </row>
    <row r="420" spans="1:50" x14ac:dyDescent="0.2">
      <c r="A420" s="8">
        <v>14500</v>
      </c>
      <c r="B420" s="89" t="str">
        <f t="shared" si="383"/>
        <v>Ku-ring-gai</v>
      </c>
      <c r="C420" s="9" t="str">
        <f t="shared" si="384"/>
        <v>NSROC</v>
      </c>
      <c r="D420" s="51" t="str">
        <f t="shared" si="385"/>
        <v>S</v>
      </c>
      <c r="E420" s="10">
        <f t="shared" si="386"/>
        <v>0</v>
      </c>
      <c r="F420" s="10">
        <f t="shared" si="387"/>
        <v>127603</v>
      </c>
      <c r="G420" s="10">
        <f t="shared" si="388"/>
        <v>44570</v>
      </c>
      <c r="H420" s="10">
        <f t="shared" si="389"/>
        <v>2.8629795826789319</v>
      </c>
      <c r="I420" s="10">
        <f t="shared" si="390"/>
        <v>85.4</v>
      </c>
      <c r="J420" s="10">
        <f t="shared" si="391"/>
        <v>1494</v>
      </c>
      <c r="K420" s="10">
        <f t="shared" si="392"/>
        <v>455</v>
      </c>
      <c r="L420" s="10" t="str">
        <f t="shared" si="393"/>
        <v>Y</v>
      </c>
      <c r="M420" s="10">
        <f t="shared" si="394"/>
        <v>44570</v>
      </c>
      <c r="N420" s="10">
        <f t="shared" si="395"/>
        <v>31517</v>
      </c>
      <c r="O420" s="10">
        <f t="shared" si="396"/>
        <v>31094</v>
      </c>
      <c r="P420" s="10">
        <f t="shared" si="397"/>
        <v>0</v>
      </c>
      <c r="Q420" s="10">
        <f t="shared" si="398"/>
        <v>44570</v>
      </c>
      <c r="R420" s="10" t="str">
        <f t="shared" si="399"/>
        <v>Yes</v>
      </c>
      <c r="S420" s="10" t="str">
        <f t="shared" si="400"/>
        <v>Gordon Library Recycling Station</v>
      </c>
      <c r="T420" s="10">
        <f t="shared" si="401"/>
        <v>0</v>
      </c>
      <c r="U420" s="10">
        <f t="shared" si="402"/>
        <v>0</v>
      </c>
      <c r="V420" s="10">
        <f t="shared" si="403"/>
        <v>0</v>
      </c>
      <c r="W420" s="10">
        <f t="shared" si="404"/>
        <v>0</v>
      </c>
      <c r="X420" s="10">
        <f t="shared" si="405"/>
        <v>0</v>
      </c>
      <c r="Y420" s="10">
        <f t="shared" si="406"/>
        <v>0</v>
      </c>
      <c r="Z420" s="10">
        <f t="shared" si="407"/>
        <v>0</v>
      </c>
      <c r="AA420" s="10">
        <f t="shared" si="408"/>
        <v>0</v>
      </c>
      <c r="AB420" s="10">
        <f t="shared" si="409"/>
        <v>0</v>
      </c>
      <c r="AC420" s="10">
        <f t="shared" si="410"/>
        <v>0</v>
      </c>
      <c r="AD420" s="10">
        <f t="shared" si="411"/>
        <v>0</v>
      </c>
      <c r="AE420" s="10">
        <f t="shared" si="412"/>
        <v>0</v>
      </c>
      <c r="AF420" s="10">
        <f t="shared" si="413"/>
        <v>0</v>
      </c>
      <c r="AG420" s="10">
        <f t="shared" si="414"/>
        <v>0</v>
      </c>
      <c r="AH420" s="10">
        <f t="shared" si="415"/>
        <v>0</v>
      </c>
      <c r="AI420" s="10">
        <f t="shared" si="416"/>
        <v>0</v>
      </c>
      <c r="AJ420" s="10">
        <f t="shared" si="417"/>
        <v>0</v>
      </c>
      <c r="AK420" s="10">
        <f t="shared" si="418"/>
        <v>0</v>
      </c>
      <c r="AL420" s="10">
        <f t="shared" si="419"/>
        <v>0</v>
      </c>
      <c r="AM420" s="10">
        <f t="shared" si="420"/>
        <v>0</v>
      </c>
      <c r="AN420" s="46">
        <f t="shared" si="421"/>
        <v>0</v>
      </c>
      <c r="AO420" s="10">
        <f t="shared" si="422"/>
        <v>0</v>
      </c>
      <c r="AP420" s="10">
        <f t="shared" si="423"/>
        <v>0</v>
      </c>
      <c r="AQ420" s="10">
        <f t="shared" si="424"/>
        <v>0</v>
      </c>
      <c r="AR420" s="10">
        <f t="shared" si="425"/>
        <v>0</v>
      </c>
      <c r="AS420" s="10">
        <f t="shared" si="426"/>
        <v>0</v>
      </c>
      <c r="AT420" s="10">
        <f t="shared" si="427"/>
        <v>0</v>
      </c>
      <c r="AU420" s="10">
        <f t="shared" si="428"/>
        <v>0</v>
      </c>
      <c r="AV420" s="10">
        <f t="shared" si="429"/>
        <v>0</v>
      </c>
      <c r="AW420" s="10">
        <f t="shared" si="430"/>
        <v>0</v>
      </c>
      <c r="AX420" s="10">
        <f t="shared" si="431"/>
        <v>0</v>
      </c>
    </row>
    <row r="421" spans="1:50" x14ac:dyDescent="0.2">
      <c r="A421" s="8">
        <v>14700</v>
      </c>
      <c r="B421" s="89" t="str">
        <f t="shared" si="383"/>
        <v>Lane Cove</v>
      </c>
      <c r="C421" s="9" t="str">
        <f t="shared" si="384"/>
        <v>NSROC</v>
      </c>
      <c r="D421" s="51" t="str">
        <f t="shared" si="385"/>
        <v>S</v>
      </c>
      <c r="E421" s="10">
        <f t="shared" si="386"/>
        <v>0</v>
      </c>
      <c r="F421" s="10">
        <f t="shared" si="387"/>
        <v>40534</v>
      </c>
      <c r="G421" s="10">
        <f t="shared" si="388"/>
        <v>18192</v>
      </c>
      <c r="H421" s="10">
        <f t="shared" si="389"/>
        <v>2.2281222515391379</v>
      </c>
      <c r="I421" s="10">
        <f t="shared" si="390"/>
        <v>10.5</v>
      </c>
      <c r="J421" s="10">
        <f t="shared" si="391"/>
        <v>3868</v>
      </c>
      <c r="K421" s="10">
        <f t="shared" si="392"/>
        <v>456.5</v>
      </c>
      <c r="L421" s="10" t="str">
        <f t="shared" si="393"/>
        <v>Y</v>
      </c>
      <c r="M421" s="10">
        <f t="shared" si="394"/>
        <v>18132</v>
      </c>
      <c r="N421" s="10">
        <f t="shared" si="395"/>
        <v>17932</v>
      </c>
      <c r="O421" s="10">
        <f t="shared" si="396"/>
        <v>7203</v>
      </c>
      <c r="P421" s="10">
        <f t="shared" si="397"/>
        <v>0</v>
      </c>
      <c r="Q421" s="10">
        <f t="shared" si="398"/>
        <v>18192</v>
      </c>
      <c r="R421" s="10" t="str">
        <f t="shared" si="399"/>
        <v>No</v>
      </c>
      <c r="S421" s="10">
        <f t="shared" si="400"/>
        <v>0</v>
      </c>
      <c r="T421" s="10">
        <f t="shared" si="401"/>
        <v>0</v>
      </c>
      <c r="U421" s="10">
        <f t="shared" si="402"/>
        <v>0</v>
      </c>
      <c r="V421" s="10">
        <f t="shared" si="403"/>
        <v>0</v>
      </c>
      <c r="W421" s="10">
        <f t="shared" si="404"/>
        <v>0</v>
      </c>
      <c r="X421" s="10">
        <f t="shared" si="405"/>
        <v>0</v>
      </c>
      <c r="Y421" s="10">
        <f t="shared" si="406"/>
        <v>0</v>
      </c>
      <c r="Z421" s="10">
        <f t="shared" si="407"/>
        <v>0</v>
      </c>
      <c r="AA421" s="10">
        <f t="shared" si="408"/>
        <v>0</v>
      </c>
      <c r="AB421" s="10">
        <f t="shared" si="409"/>
        <v>0</v>
      </c>
      <c r="AC421" s="10">
        <f t="shared" si="410"/>
        <v>0</v>
      </c>
      <c r="AD421" s="10">
        <f t="shared" si="411"/>
        <v>0</v>
      </c>
      <c r="AE421" s="10">
        <f t="shared" si="412"/>
        <v>0</v>
      </c>
      <c r="AF421" s="10">
        <f t="shared" si="413"/>
        <v>0</v>
      </c>
      <c r="AG421" s="10">
        <f t="shared" si="414"/>
        <v>0</v>
      </c>
      <c r="AH421" s="10">
        <f t="shared" si="415"/>
        <v>0</v>
      </c>
      <c r="AI421" s="10">
        <f t="shared" si="416"/>
        <v>0</v>
      </c>
      <c r="AJ421" s="10">
        <f t="shared" si="417"/>
        <v>0</v>
      </c>
      <c r="AK421" s="10">
        <f t="shared" si="418"/>
        <v>0</v>
      </c>
      <c r="AL421" s="10">
        <f t="shared" si="419"/>
        <v>0</v>
      </c>
      <c r="AM421" s="10">
        <f t="shared" si="420"/>
        <v>0</v>
      </c>
      <c r="AN421" s="46">
        <f t="shared" si="421"/>
        <v>0</v>
      </c>
      <c r="AO421" s="10">
        <f t="shared" si="422"/>
        <v>0</v>
      </c>
      <c r="AP421" s="10">
        <f t="shared" si="423"/>
        <v>0</v>
      </c>
      <c r="AQ421" s="10">
        <f t="shared" si="424"/>
        <v>0</v>
      </c>
      <c r="AR421" s="10">
        <f t="shared" si="425"/>
        <v>0</v>
      </c>
      <c r="AS421" s="10">
        <f t="shared" si="426"/>
        <v>0</v>
      </c>
      <c r="AT421" s="10">
        <f t="shared" si="427"/>
        <v>0</v>
      </c>
      <c r="AU421" s="10">
        <f t="shared" si="428"/>
        <v>0</v>
      </c>
      <c r="AV421" s="10">
        <f t="shared" si="429"/>
        <v>0</v>
      </c>
      <c r="AW421" s="10">
        <f t="shared" si="430"/>
        <v>0</v>
      </c>
      <c r="AX421" s="10">
        <f t="shared" si="431"/>
        <v>0</v>
      </c>
    </row>
    <row r="422" spans="1:50" x14ac:dyDescent="0.2">
      <c r="A422" s="8">
        <v>14900</v>
      </c>
      <c r="B422" s="89" t="str">
        <f t="shared" si="383"/>
        <v>Liverpool</v>
      </c>
      <c r="C422" s="9" t="str">
        <f t="shared" si="384"/>
        <v>WSROC</v>
      </c>
      <c r="D422" s="51" t="str">
        <f t="shared" si="385"/>
        <v>S</v>
      </c>
      <c r="E422" s="10">
        <f t="shared" si="386"/>
        <v>0</v>
      </c>
      <c r="F422" s="10">
        <f t="shared" si="387"/>
        <v>231296</v>
      </c>
      <c r="G422" s="10">
        <f t="shared" si="388"/>
        <v>75696</v>
      </c>
      <c r="H422" s="10">
        <f t="shared" si="389"/>
        <v>3.055590784189389</v>
      </c>
      <c r="I422" s="10">
        <f t="shared" si="390"/>
        <v>305.7</v>
      </c>
      <c r="J422" s="10">
        <f t="shared" si="391"/>
        <v>756.5</v>
      </c>
      <c r="K422" s="10">
        <f t="shared" si="392"/>
        <v>468</v>
      </c>
      <c r="L422" s="10" t="str">
        <f t="shared" si="393"/>
        <v>Y</v>
      </c>
      <c r="M422" s="10">
        <f t="shared" si="394"/>
        <v>66214</v>
      </c>
      <c r="N422" s="10">
        <f t="shared" si="395"/>
        <v>66214</v>
      </c>
      <c r="O422" s="10">
        <f t="shared" si="396"/>
        <v>54564</v>
      </c>
      <c r="P422" s="10">
        <f t="shared" si="397"/>
        <v>0</v>
      </c>
      <c r="Q422" s="10">
        <f t="shared" si="398"/>
        <v>75696</v>
      </c>
      <c r="R422" s="10" t="str">
        <f t="shared" si="399"/>
        <v>Yes</v>
      </c>
      <c r="S422" s="10" t="str">
        <f t="shared" si="400"/>
        <v>Liverpool Community Recycling Centre</v>
      </c>
      <c r="T422" s="10">
        <f t="shared" si="401"/>
        <v>0</v>
      </c>
      <c r="U422" s="10">
        <f t="shared" si="402"/>
        <v>0</v>
      </c>
      <c r="V422" s="10">
        <f t="shared" si="403"/>
        <v>0</v>
      </c>
      <c r="W422" s="10">
        <f t="shared" si="404"/>
        <v>0</v>
      </c>
      <c r="X422" s="10">
        <f t="shared" si="405"/>
        <v>0</v>
      </c>
      <c r="Y422" s="10">
        <f t="shared" si="406"/>
        <v>0</v>
      </c>
      <c r="Z422" s="10">
        <f t="shared" si="407"/>
        <v>0</v>
      </c>
      <c r="AA422" s="10">
        <f t="shared" si="408"/>
        <v>0</v>
      </c>
      <c r="AB422" s="10">
        <f t="shared" si="409"/>
        <v>0</v>
      </c>
      <c r="AC422" s="10">
        <f t="shared" si="410"/>
        <v>0</v>
      </c>
      <c r="AD422" s="10">
        <f t="shared" si="411"/>
        <v>0</v>
      </c>
      <c r="AE422" s="10">
        <f t="shared" si="412"/>
        <v>0</v>
      </c>
      <c r="AF422" s="10">
        <f t="shared" si="413"/>
        <v>0</v>
      </c>
      <c r="AG422" s="10">
        <f t="shared" si="414"/>
        <v>0</v>
      </c>
      <c r="AH422" s="10">
        <f t="shared" si="415"/>
        <v>0</v>
      </c>
      <c r="AI422" s="10">
        <f t="shared" si="416"/>
        <v>0</v>
      </c>
      <c r="AJ422" s="10">
        <f t="shared" si="417"/>
        <v>0</v>
      </c>
      <c r="AK422" s="10">
        <f t="shared" si="418"/>
        <v>0</v>
      </c>
      <c r="AL422" s="10">
        <f t="shared" si="419"/>
        <v>0</v>
      </c>
      <c r="AM422" s="10">
        <f t="shared" si="420"/>
        <v>0</v>
      </c>
      <c r="AN422" s="46">
        <f t="shared" si="421"/>
        <v>0</v>
      </c>
      <c r="AO422" s="10">
        <f t="shared" si="422"/>
        <v>0</v>
      </c>
      <c r="AP422" s="10">
        <f t="shared" si="423"/>
        <v>0</v>
      </c>
      <c r="AQ422" s="10">
        <f t="shared" si="424"/>
        <v>0</v>
      </c>
      <c r="AR422" s="10">
        <f t="shared" si="425"/>
        <v>0</v>
      </c>
      <c r="AS422" s="10">
        <f t="shared" si="426"/>
        <v>0</v>
      </c>
      <c r="AT422" s="10">
        <f t="shared" si="427"/>
        <v>0</v>
      </c>
      <c r="AU422" s="10">
        <f t="shared" si="428"/>
        <v>0</v>
      </c>
      <c r="AV422" s="10">
        <f t="shared" si="429"/>
        <v>0</v>
      </c>
      <c r="AW422" s="10">
        <f t="shared" si="430"/>
        <v>0</v>
      </c>
      <c r="AX422" s="10">
        <f t="shared" si="431"/>
        <v>0</v>
      </c>
    </row>
    <row r="423" spans="1:50" x14ac:dyDescent="0.2">
      <c r="A423" s="8">
        <v>15350</v>
      </c>
      <c r="B423" s="89" t="str">
        <f t="shared" si="383"/>
        <v>Mosman</v>
      </c>
      <c r="C423" s="9" t="str">
        <f t="shared" si="384"/>
        <v>NSROC</v>
      </c>
      <c r="D423" s="51" t="str">
        <f t="shared" si="385"/>
        <v>S</v>
      </c>
      <c r="E423" s="10">
        <f t="shared" si="386"/>
        <v>0</v>
      </c>
      <c r="F423" s="10">
        <f t="shared" si="387"/>
        <v>30785</v>
      </c>
      <c r="G423" s="10">
        <f t="shared" si="388"/>
        <v>13130</v>
      </c>
      <c r="H423" s="10">
        <f t="shared" si="389"/>
        <v>2.3446306169078448</v>
      </c>
      <c r="I423" s="10">
        <f t="shared" si="390"/>
        <v>8.6999999999999993</v>
      </c>
      <c r="J423" s="10">
        <f t="shared" si="391"/>
        <v>3558.8</v>
      </c>
      <c r="K423" s="10">
        <f t="shared" si="392"/>
        <v>620</v>
      </c>
      <c r="L423" s="10" t="str">
        <f t="shared" si="393"/>
        <v>Y</v>
      </c>
      <c r="M423" s="10">
        <f t="shared" si="394"/>
        <v>13130</v>
      </c>
      <c r="N423" s="10">
        <f t="shared" si="395"/>
        <v>13130</v>
      </c>
      <c r="O423" s="10">
        <f t="shared" si="396"/>
        <v>13130</v>
      </c>
      <c r="P423" s="10">
        <f t="shared" si="397"/>
        <v>0</v>
      </c>
      <c r="Q423" s="10">
        <f t="shared" si="398"/>
        <v>13130</v>
      </c>
      <c r="R423" s="10" t="str">
        <f t="shared" si="399"/>
        <v>Yes</v>
      </c>
      <c r="S423" s="10" t="str">
        <f t="shared" si="400"/>
        <v>CRC Artarmon</v>
      </c>
      <c r="T423" s="10" t="str">
        <f t="shared" si="401"/>
        <v>Kimbriki resource recovery centre</v>
      </c>
      <c r="U423" s="10">
        <f t="shared" si="402"/>
        <v>0</v>
      </c>
      <c r="V423" s="10">
        <f t="shared" si="403"/>
        <v>0</v>
      </c>
      <c r="W423" s="10">
        <f t="shared" si="404"/>
        <v>0</v>
      </c>
      <c r="X423" s="10">
        <f t="shared" si="405"/>
        <v>0</v>
      </c>
      <c r="Y423" s="10">
        <f t="shared" si="406"/>
        <v>0</v>
      </c>
      <c r="Z423" s="10">
        <f t="shared" si="407"/>
        <v>0</v>
      </c>
      <c r="AA423" s="10">
        <f t="shared" si="408"/>
        <v>0</v>
      </c>
      <c r="AB423" s="10">
        <f t="shared" si="409"/>
        <v>0</v>
      </c>
      <c r="AC423" s="10">
        <f t="shared" si="410"/>
        <v>0</v>
      </c>
      <c r="AD423" s="10">
        <f t="shared" si="411"/>
        <v>0</v>
      </c>
      <c r="AE423" s="10">
        <f t="shared" si="412"/>
        <v>0</v>
      </c>
      <c r="AF423" s="10">
        <f t="shared" si="413"/>
        <v>0</v>
      </c>
      <c r="AG423" s="10">
        <f t="shared" si="414"/>
        <v>0</v>
      </c>
      <c r="AH423" s="10">
        <f t="shared" si="415"/>
        <v>0</v>
      </c>
      <c r="AI423" s="10">
        <f t="shared" si="416"/>
        <v>0</v>
      </c>
      <c r="AJ423" s="10">
        <f t="shared" si="417"/>
        <v>0</v>
      </c>
      <c r="AK423" s="10">
        <f t="shared" si="418"/>
        <v>0</v>
      </c>
      <c r="AL423" s="10">
        <f t="shared" si="419"/>
        <v>0</v>
      </c>
      <c r="AM423" s="10">
        <f t="shared" si="420"/>
        <v>0</v>
      </c>
      <c r="AN423" s="46">
        <f t="shared" si="421"/>
        <v>0</v>
      </c>
      <c r="AO423" s="10">
        <f t="shared" si="422"/>
        <v>0</v>
      </c>
      <c r="AP423" s="10">
        <f t="shared" si="423"/>
        <v>0</v>
      </c>
      <c r="AQ423" s="10">
        <f t="shared" si="424"/>
        <v>0</v>
      </c>
      <c r="AR423" s="10">
        <f t="shared" si="425"/>
        <v>0</v>
      </c>
      <c r="AS423" s="10">
        <f t="shared" si="426"/>
        <v>0</v>
      </c>
      <c r="AT423" s="10">
        <f t="shared" si="427"/>
        <v>0</v>
      </c>
      <c r="AU423" s="10">
        <f t="shared" si="428"/>
        <v>0</v>
      </c>
      <c r="AV423" s="10">
        <f t="shared" si="429"/>
        <v>0</v>
      </c>
      <c r="AW423" s="10">
        <f t="shared" si="430"/>
        <v>0</v>
      </c>
      <c r="AX423" s="10">
        <f t="shared" si="431"/>
        <v>0</v>
      </c>
    </row>
    <row r="424" spans="1:50" x14ac:dyDescent="0.2">
      <c r="A424" s="8">
        <v>15950</v>
      </c>
      <c r="B424" s="89" t="str">
        <f t="shared" si="383"/>
        <v>North Sydney</v>
      </c>
      <c r="C424" s="9" t="str">
        <f t="shared" si="384"/>
        <v>NSROC</v>
      </c>
      <c r="D424" s="51" t="str">
        <f t="shared" si="385"/>
        <v>S</v>
      </c>
      <c r="E424" s="10">
        <f t="shared" si="386"/>
        <v>0</v>
      </c>
      <c r="F424" s="10">
        <f t="shared" si="387"/>
        <v>75094</v>
      </c>
      <c r="G424" s="10">
        <f t="shared" si="388"/>
        <v>40704</v>
      </c>
      <c r="H424" s="10">
        <f t="shared" si="389"/>
        <v>1.8448801100628931</v>
      </c>
      <c r="I424" s="10">
        <f t="shared" si="390"/>
        <v>10.5</v>
      </c>
      <c r="J424" s="10">
        <f t="shared" si="391"/>
        <v>7161.6</v>
      </c>
      <c r="K424" s="10">
        <f t="shared" si="392"/>
        <v>420</v>
      </c>
      <c r="L424" s="10" t="str">
        <f t="shared" si="393"/>
        <v>Y</v>
      </c>
      <c r="M424" s="10">
        <f t="shared" si="394"/>
        <v>39026</v>
      </c>
      <c r="N424" s="10">
        <f t="shared" si="395"/>
        <v>40704</v>
      </c>
      <c r="O424" s="10">
        <f t="shared" si="396"/>
        <v>0</v>
      </c>
      <c r="P424" s="10">
        <f t="shared" si="397"/>
        <v>0</v>
      </c>
      <c r="Q424" s="10">
        <f t="shared" si="398"/>
        <v>40704</v>
      </c>
      <c r="R424" s="10" t="str">
        <f t="shared" si="399"/>
        <v>Yes</v>
      </c>
      <c r="S424" s="10" t="str">
        <f t="shared" si="400"/>
        <v xml:space="preserve">Northern Sydney Community Recycling Centre </v>
      </c>
      <c r="T424" s="10">
        <f t="shared" si="401"/>
        <v>0</v>
      </c>
      <c r="U424" s="10">
        <f t="shared" si="402"/>
        <v>0</v>
      </c>
      <c r="V424" s="10">
        <f t="shared" si="403"/>
        <v>0</v>
      </c>
      <c r="W424" s="10">
        <f t="shared" si="404"/>
        <v>0</v>
      </c>
      <c r="X424" s="10">
        <f t="shared" si="405"/>
        <v>0</v>
      </c>
      <c r="Y424" s="10">
        <f t="shared" si="406"/>
        <v>0</v>
      </c>
      <c r="Z424" s="10">
        <f t="shared" si="407"/>
        <v>0</v>
      </c>
      <c r="AA424" s="10">
        <f t="shared" si="408"/>
        <v>0</v>
      </c>
      <c r="AB424" s="10">
        <f t="shared" si="409"/>
        <v>0</v>
      </c>
      <c r="AC424" s="10">
        <f t="shared" si="410"/>
        <v>0</v>
      </c>
      <c r="AD424" s="10">
        <f t="shared" si="411"/>
        <v>0</v>
      </c>
      <c r="AE424" s="10">
        <f t="shared" si="412"/>
        <v>0</v>
      </c>
      <c r="AF424" s="10">
        <f t="shared" si="413"/>
        <v>0</v>
      </c>
      <c r="AG424" s="10">
        <f t="shared" si="414"/>
        <v>0</v>
      </c>
      <c r="AH424" s="10">
        <f t="shared" si="415"/>
        <v>0</v>
      </c>
      <c r="AI424" s="10">
        <f t="shared" si="416"/>
        <v>0</v>
      </c>
      <c r="AJ424" s="10">
        <f t="shared" si="417"/>
        <v>0</v>
      </c>
      <c r="AK424" s="10">
        <f t="shared" si="418"/>
        <v>0</v>
      </c>
      <c r="AL424" s="10">
        <f t="shared" si="419"/>
        <v>0</v>
      </c>
      <c r="AM424" s="10">
        <f t="shared" si="420"/>
        <v>0</v>
      </c>
      <c r="AN424" s="46">
        <f t="shared" si="421"/>
        <v>0</v>
      </c>
      <c r="AO424" s="10">
        <f t="shared" si="422"/>
        <v>0</v>
      </c>
      <c r="AP424" s="10">
        <f t="shared" si="423"/>
        <v>0</v>
      </c>
      <c r="AQ424" s="10">
        <f t="shared" si="424"/>
        <v>0</v>
      </c>
      <c r="AR424" s="10">
        <f t="shared" si="425"/>
        <v>0</v>
      </c>
      <c r="AS424" s="10">
        <f t="shared" si="426"/>
        <v>0</v>
      </c>
      <c r="AT424" s="10">
        <f t="shared" si="427"/>
        <v>0</v>
      </c>
      <c r="AU424" s="10">
        <f t="shared" si="428"/>
        <v>0</v>
      </c>
      <c r="AV424" s="10">
        <f t="shared" si="429"/>
        <v>0</v>
      </c>
      <c r="AW424" s="10">
        <f t="shared" si="430"/>
        <v>0</v>
      </c>
      <c r="AX424" s="10">
        <f t="shared" si="431"/>
        <v>0</v>
      </c>
    </row>
    <row r="425" spans="1:50" x14ac:dyDescent="0.2">
      <c r="A425" s="8">
        <v>15990</v>
      </c>
      <c r="B425" s="89" t="str">
        <f t="shared" si="383"/>
        <v>Northern Beaches</v>
      </c>
      <c r="C425" s="9">
        <f t="shared" si="384"/>
        <v>0</v>
      </c>
      <c r="D425" s="51" t="str">
        <f t="shared" si="385"/>
        <v>S</v>
      </c>
      <c r="E425" s="10">
        <f t="shared" si="386"/>
        <v>0</v>
      </c>
      <c r="F425" s="10">
        <f t="shared" si="387"/>
        <v>274041</v>
      </c>
      <c r="G425" s="10">
        <f t="shared" si="388"/>
        <v>114860</v>
      </c>
      <c r="H425" s="10">
        <f t="shared" si="389"/>
        <v>2.3858697544837195</v>
      </c>
      <c r="I425" s="10">
        <f t="shared" si="390"/>
        <v>254.2</v>
      </c>
      <c r="J425" s="10">
        <f t="shared" si="391"/>
        <v>1078</v>
      </c>
      <c r="K425" s="10">
        <f t="shared" si="392"/>
        <v>446</v>
      </c>
      <c r="L425" s="10" t="str">
        <f t="shared" si="393"/>
        <v>Y</v>
      </c>
      <c r="M425" s="10">
        <f t="shared" si="394"/>
        <v>112806</v>
      </c>
      <c r="N425" s="10">
        <f t="shared" si="395"/>
        <v>112806</v>
      </c>
      <c r="O425" s="10">
        <f t="shared" si="396"/>
        <v>112806</v>
      </c>
      <c r="P425" s="10">
        <f t="shared" si="397"/>
        <v>0</v>
      </c>
      <c r="Q425" s="10">
        <f t="shared" si="398"/>
        <v>114860</v>
      </c>
      <c r="R425" s="10" t="str">
        <f t="shared" si="399"/>
        <v>Yes</v>
      </c>
      <c r="S425" s="10" t="str">
        <f t="shared" si="400"/>
        <v>Manly Customer Service Centre 1 Belgrave Street Manly NSW 2095</v>
      </c>
      <c r="T425" s="10" t="str">
        <f t="shared" si="401"/>
        <v>Mona Vale Customer Centre Village Park, 1 Park Street Mona Vale NSW 2103</v>
      </c>
      <c r="U425" s="10" t="str">
        <f t="shared" si="402"/>
        <v>Dee Why Customer Service 725 Pittwater Road Dee Why NSW 2099</v>
      </c>
      <c r="V425" s="10">
        <f t="shared" si="403"/>
        <v>0</v>
      </c>
      <c r="W425" s="10">
        <f t="shared" si="404"/>
        <v>0</v>
      </c>
      <c r="X425" s="10">
        <f t="shared" si="405"/>
        <v>0</v>
      </c>
      <c r="Y425" s="10">
        <f t="shared" si="406"/>
        <v>0</v>
      </c>
      <c r="Z425" s="10">
        <f t="shared" si="407"/>
        <v>0</v>
      </c>
      <c r="AA425" s="10">
        <f t="shared" si="408"/>
        <v>0</v>
      </c>
      <c r="AB425" s="10">
        <f t="shared" si="409"/>
        <v>0</v>
      </c>
      <c r="AC425" s="10">
        <f t="shared" si="410"/>
        <v>0</v>
      </c>
      <c r="AD425" s="10">
        <f t="shared" si="411"/>
        <v>0</v>
      </c>
      <c r="AE425" s="10">
        <f t="shared" si="412"/>
        <v>0</v>
      </c>
      <c r="AF425" s="10">
        <f t="shared" si="413"/>
        <v>0</v>
      </c>
      <c r="AG425" s="10">
        <f t="shared" si="414"/>
        <v>0</v>
      </c>
      <c r="AH425" s="10">
        <f t="shared" si="415"/>
        <v>0</v>
      </c>
      <c r="AI425" s="10">
        <f t="shared" si="416"/>
        <v>0</v>
      </c>
      <c r="AJ425" s="10">
        <f t="shared" si="417"/>
        <v>0</v>
      </c>
      <c r="AK425" s="10">
        <f t="shared" si="418"/>
        <v>0</v>
      </c>
      <c r="AL425" s="10">
        <f t="shared" si="419"/>
        <v>0</v>
      </c>
      <c r="AM425" s="10">
        <f t="shared" si="420"/>
        <v>0</v>
      </c>
      <c r="AN425" s="46">
        <f t="shared" si="421"/>
        <v>0</v>
      </c>
      <c r="AO425" s="10">
        <f t="shared" si="422"/>
        <v>0</v>
      </c>
      <c r="AP425" s="10">
        <f t="shared" si="423"/>
        <v>0</v>
      </c>
      <c r="AQ425" s="10">
        <f t="shared" si="424"/>
        <v>0</v>
      </c>
      <c r="AR425" s="10">
        <f t="shared" si="425"/>
        <v>0</v>
      </c>
      <c r="AS425" s="10">
        <f t="shared" si="426"/>
        <v>0</v>
      </c>
      <c r="AT425" s="10">
        <f t="shared" si="427"/>
        <v>0</v>
      </c>
      <c r="AU425" s="10">
        <f t="shared" si="428"/>
        <v>0</v>
      </c>
      <c r="AV425" s="10">
        <f t="shared" si="429"/>
        <v>0</v>
      </c>
      <c r="AW425" s="10">
        <f t="shared" si="430"/>
        <v>0</v>
      </c>
      <c r="AX425" s="10">
        <f t="shared" si="431"/>
        <v>0</v>
      </c>
    </row>
    <row r="426" spans="1:50" x14ac:dyDescent="0.2">
      <c r="A426" s="8">
        <v>16260</v>
      </c>
      <c r="B426" s="89" t="str">
        <f t="shared" si="383"/>
        <v>Parramatta</v>
      </c>
      <c r="C426" s="9" t="str">
        <f t="shared" si="384"/>
        <v>WSROC</v>
      </c>
      <c r="D426" s="51" t="str">
        <f t="shared" si="385"/>
        <v>S</v>
      </c>
      <c r="E426" s="10">
        <f t="shared" si="386"/>
        <v>0</v>
      </c>
      <c r="F426" s="10">
        <f t="shared" si="387"/>
        <v>260296</v>
      </c>
      <c r="G426" s="10">
        <f t="shared" si="388"/>
        <v>99188</v>
      </c>
      <c r="H426" s="10">
        <f t="shared" si="389"/>
        <v>2.6242690648062266</v>
      </c>
      <c r="I426" s="10">
        <f t="shared" si="390"/>
        <v>83.8</v>
      </c>
      <c r="J426" s="10">
        <f t="shared" si="391"/>
        <v>3105.1</v>
      </c>
      <c r="K426" s="10">
        <f t="shared" si="392"/>
        <v>440.8</v>
      </c>
      <c r="L426" s="10" t="str">
        <f t="shared" si="393"/>
        <v>Y</v>
      </c>
      <c r="M426" s="10">
        <f t="shared" si="394"/>
        <v>87570</v>
      </c>
      <c r="N426" s="10">
        <f t="shared" si="395"/>
        <v>87551</v>
      </c>
      <c r="O426" s="10">
        <f t="shared" si="396"/>
        <v>87492</v>
      </c>
      <c r="P426" s="10">
        <f t="shared" si="397"/>
        <v>0</v>
      </c>
      <c r="Q426" s="10">
        <f t="shared" si="398"/>
        <v>99188</v>
      </c>
      <c r="R426" s="10" t="str">
        <f t="shared" si="399"/>
        <v>Yes</v>
      </c>
      <c r="S426" s="10">
        <f t="shared" si="400"/>
        <v>0</v>
      </c>
      <c r="T426" s="10">
        <f t="shared" si="401"/>
        <v>0</v>
      </c>
      <c r="U426" s="10">
        <f t="shared" si="402"/>
        <v>0</v>
      </c>
      <c r="V426" s="10">
        <f t="shared" si="403"/>
        <v>0</v>
      </c>
      <c r="W426" s="10">
        <f t="shared" si="404"/>
        <v>0</v>
      </c>
      <c r="X426" s="10">
        <f t="shared" si="405"/>
        <v>0</v>
      </c>
      <c r="Y426" s="10">
        <f t="shared" si="406"/>
        <v>0</v>
      </c>
      <c r="Z426" s="10">
        <f t="shared" si="407"/>
        <v>0</v>
      </c>
      <c r="AA426" s="10">
        <f t="shared" si="408"/>
        <v>0</v>
      </c>
      <c r="AB426" s="10">
        <f t="shared" si="409"/>
        <v>0</v>
      </c>
      <c r="AC426" s="10">
        <f t="shared" si="410"/>
        <v>0</v>
      </c>
      <c r="AD426" s="10">
        <f t="shared" si="411"/>
        <v>0</v>
      </c>
      <c r="AE426" s="10">
        <f t="shared" si="412"/>
        <v>0</v>
      </c>
      <c r="AF426" s="10">
        <f t="shared" si="413"/>
        <v>0</v>
      </c>
      <c r="AG426" s="10">
        <f t="shared" si="414"/>
        <v>0</v>
      </c>
      <c r="AH426" s="10">
        <f t="shared" si="415"/>
        <v>0</v>
      </c>
      <c r="AI426" s="10">
        <f t="shared" si="416"/>
        <v>0</v>
      </c>
      <c r="AJ426" s="10">
        <f t="shared" si="417"/>
        <v>0</v>
      </c>
      <c r="AK426" s="10">
        <f t="shared" si="418"/>
        <v>0</v>
      </c>
      <c r="AL426" s="10">
        <f t="shared" si="419"/>
        <v>0</v>
      </c>
      <c r="AM426" s="10">
        <f t="shared" si="420"/>
        <v>0</v>
      </c>
      <c r="AN426" s="46">
        <f t="shared" si="421"/>
        <v>0</v>
      </c>
      <c r="AO426" s="10">
        <f t="shared" si="422"/>
        <v>0</v>
      </c>
      <c r="AP426" s="10">
        <f t="shared" si="423"/>
        <v>0</v>
      </c>
      <c r="AQ426" s="10">
        <f t="shared" si="424"/>
        <v>0</v>
      </c>
      <c r="AR426" s="10">
        <f t="shared" si="425"/>
        <v>0</v>
      </c>
      <c r="AS426" s="10">
        <f t="shared" si="426"/>
        <v>0</v>
      </c>
      <c r="AT426" s="10">
        <f t="shared" si="427"/>
        <v>0</v>
      </c>
      <c r="AU426" s="10">
        <f t="shared" si="428"/>
        <v>0</v>
      </c>
      <c r="AV426" s="10">
        <f t="shared" si="429"/>
        <v>0</v>
      </c>
      <c r="AW426" s="10">
        <f t="shared" si="430"/>
        <v>0</v>
      </c>
      <c r="AX426" s="10">
        <f t="shared" si="431"/>
        <v>0</v>
      </c>
    </row>
    <row r="427" spans="1:50" x14ac:dyDescent="0.2">
      <c r="A427" s="8">
        <v>16350</v>
      </c>
      <c r="B427" s="89" t="str">
        <f t="shared" si="383"/>
        <v>Penrith</v>
      </c>
      <c r="C427" s="9" t="str">
        <f t="shared" si="384"/>
        <v>WSROC</v>
      </c>
      <c r="D427" s="51" t="str">
        <f t="shared" si="385"/>
        <v>S</v>
      </c>
      <c r="E427" s="10">
        <f t="shared" si="386"/>
        <v>0</v>
      </c>
      <c r="F427" s="10">
        <f t="shared" si="387"/>
        <v>216282</v>
      </c>
      <c r="G427" s="10">
        <f t="shared" si="388"/>
        <v>81203</v>
      </c>
      <c r="H427" s="10">
        <f t="shared" si="389"/>
        <v>2.6634730243956506</v>
      </c>
      <c r="I427" s="10">
        <f t="shared" si="390"/>
        <v>404.7</v>
      </c>
      <c r="J427" s="10">
        <f t="shared" si="391"/>
        <v>534.4</v>
      </c>
      <c r="K427" s="10">
        <f t="shared" si="392"/>
        <v>399</v>
      </c>
      <c r="L427" s="10" t="str">
        <f t="shared" si="393"/>
        <v>Y</v>
      </c>
      <c r="M427" s="10">
        <f t="shared" si="394"/>
        <v>80006</v>
      </c>
      <c r="N427" s="10">
        <f t="shared" si="395"/>
        <v>80006</v>
      </c>
      <c r="O427" s="10">
        <f t="shared" si="396"/>
        <v>0</v>
      </c>
      <c r="P427" s="10">
        <f t="shared" si="397"/>
        <v>66673</v>
      </c>
      <c r="Q427" s="10">
        <f t="shared" si="398"/>
        <v>81203</v>
      </c>
      <c r="R427" s="10" t="str">
        <f t="shared" si="399"/>
        <v>No</v>
      </c>
      <c r="S427" s="10" t="str">
        <f t="shared" si="400"/>
        <v>Penrith Library 601 High Street, Penrith</v>
      </c>
      <c r="T427" s="10" t="str">
        <f t="shared" si="401"/>
        <v>St Marys Library 207 - 209 Queen Street, St Marys</v>
      </c>
      <c r="U427" s="10" t="str">
        <f t="shared" si="402"/>
        <v>St Clair Library Shop 12, St Clair Shopping Centre, Bennett Road and Endeavour Avenue</v>
      </c>
      <c r="V427" s="10">
        <f t="shared" si="403"/>
        <v>0</v>
      </c>
      <c r="W427" s="10">
        <f t="shared" si="404"/>
        <v>0</v>
      </c>
      <c r="X427" s="10">
        <f t="shared" si="405"/>
        <v>0</v>
      </c>
      <c r="Y427" s="10">
        <f t="shared" si="406"/>
        <v>0</v>
      </c>
      <c r="Z427" s="10">
        <f t="shared" si="407"/>
        <v>0</v>
      </c>
      <c r="AA427" s="10">
        <f t="shared" si="408"/>
        <v>0</v>
      </c>
      <c r="AB427" s="10">
        <f t="shared" si="409"/>
        <v>0</v>
      </c>
      <c r="AC427" s="10">
        <f t="shared" si="410"/>
        <v>0</v>
      </c>
      <c r="AD427" s="10">
        <f t="shared" si="411"/>
        <v>0</v>
      </c>
      <c r="AE427" s="10">
        <f t="shared" si="412"/>
        <v>0</v>
      </c>
      <c r="AF427" s="10">
        <f t="shared" si="413"/>
        <v>0</v>
      </c>
      <c r="AG427" s="10">
        <f t="shared" si="414"/>
        <v>0</v>
      </c>
      <c r="AH427" s="10">
        <f t="shared" si="415"/>
        <v>0</v>
      </c>
      <c r="AI427" s="10">
        <f t="shared" si="416"/>
        <v>0</v>
      </c>
      <c r="AJ427" s="10">
        <f t="shared" si="417"/>
        <v>0</v>
      </c>
      <c r="AK427" s="10">
        <f t="shared" si="418"/>
        <v>0</v>
      </c>
      <c r="AL427" s="10">
        <f t="shared" si="419"/>
        <v>0</v>
      </c>
      <c r="AM427" s="10">
        <f t="shared" si="420"/>
        <v>0</v>
      </c>
      <c r="AN427" s="46">
        <f t="shared" si="421"/>
        <v>0</v>
      </c>
      <c r="AO427" s="10">
        <f t="shared" si="422"/>
        <v>0</v>
      </c>
      <c r="AP427" s="10">
        <f t="shared" si="423"/>
        <v>0</v>
      </c>
      <c r="AQ427" s="10">
        <f t="shared" si="424"/>
        <v>0</v>
      </c>
      <c r="AR427" s="10">
        <f t="shared" si="425"/>
        <v>0</v>
      </c>
      <c r="AS427" s="10">
        <f t="shared" si="426"/>
        <v>0</v>
      </c>
      <c r="AT427" s="10">
        <f t="shared" si="427"/>
        <v>0</v>
      </c>
      <c r="AU427" s="10">
        <f t="shared" si="428"/>
        <v>0</v>
      </c>
      <c r="AV427" s="10">
        <f t="shared" si="429"/>
        <v>0</v>
      </c>
      <c r="AW427" s="10">
        <f t="shared" si="430"/>
        <v>0</v>
      </c>
      <c r="AX427" s="10">
        <f t="shared" si="431"/>
        <v>0</v>
      </c>
    </row>
    <row r="428" spans="1:50" x14ac:dyDescent="0.2">
      <c r="A428" s="8">
        <v>16550</v>
      </c>
      <c r="B428" s="89" t="str">
        <f t="shared" si="383"/>
        <v>Randwick</v>
      </c>
      <c r="C428" s="9" t="str">
        <f t="shared" si="384"/>
        <v>SSROC</v>
      </c>
      <c r="D428" s="51" t="str">
        <f t="shared" si="385"/>
        <v>S</v>
      </c>
      <c r="E428" s="10">
        <f t="shared" si="386"/>
        <v>0</v>
      </c>
      <c r="F428" s="10">
        <f t="shared" si="387"/>
        <v>156619</v>
      </c>
      <c r="G428" s="10">
        <f t="shared" si="388"/>
        <v>59726</v>
      </c>
      <c r="H428" s="10">
        <f t="shared" si="389"/>
        <v>2.6222917992164216</v>
      </c>
      <c r="I428" s="10">
        <f t="shared" si="390"/>
        <v>36.299999999999997</v>
      </c>
      <c r="J428" s="10">
        <f t="shared" si="391"/>
        <v>4310.8999999999996</v>
      </c>
      <c r="K428" s="10">
        <f t="shared" si="392"/>
        <v>604.75</v>
      </c>
      <c r="L428" s="10" t="str">
        <f t="shared" si="393"/>
        <v>Y</v>
      </c>
      <c r="M428" s="10">
        <f t="shared" si="394"/>
        <v>58388</v>
      </c>
      <c r="N428" s="10">
        <f t="shared" si="395"/>
        <v>59328</v>
      </c>
      <c r="O428" s="10">
        <f t="shared" si="396"/>
        <v>59692</v>
      </c>
      <c r="P428" s="10">
        <f t="shared" si="397"/>
        <v>59692</v>
      </c>
      <c r="Q428" s="10">
        <f t="shared" si="398"/>
        <v>59726</v>
      </c>
      <c r="R428" s="10" t="str">
        <f t="shared" si="399"/>
        <v>Yes</v>
      </c>
      <c r="S428" s="10" t="str">
        <f t="shared" si="400"/>
        <v>72 Perry Street, Matraville NSW 2036</v>
      </c>
      <c r="T428" s="10">
        <f t="shared" si="401"/>
        <v>0</v>
      </c>
      <c r="U428" s="10">
        <f t="shared" si="402"/>
        <v>0</v>
      </c>
      <c r="V428" s="10">
        <f t="shared" si="403"/>
        <v>0</v>
      </c>
      <c r="W428" s="10">
        <f t="shared" si="404"/>
        <v>0</v>
      </c>
      <c r="X428" s="10">
        <f t="shared" si="405"/>
        <v>0</v>
      </c>
      <c r="Y428" s="10">
        <f t="shared" si="406"/>
        <v>0</v>
      </c>
      <c r="Z428" s="10">
        <f t="shared" si="407"/>
        <v>0</v>
      </c>
      <c r="AA428" s="10">
        <f t="shared" si="408"/>
        <v>0</v>
      </c>
      <c r="AB428" s="10">
        <f t="shared" si="409"/>
        <v>0</v>
      </c>
      <c r="AC428" s="10">
        <f t="shared" si="410"/>
        <v>0</v>
      </c>
      <c r="AD428" s="10">
        <f t="shared" si="411"/>
        <v>0</v>
      </c>
      <c r="AE428" s="10">
        <f t="shared" si="412"/>
        <v>0</v>
      </c>
      <c r="AF428" s="10">
        <f t="shared" si="413"/>
        <v>0</v>
      </c>
      <c r="AG428" s="10">
        <f t="shared" si="414"/>
        <v>0</v>
      </c>
      <c r="AH428" s="10">
        <f t="shared" si="415"/>
        <v>0</v>
      </c>
      <c r="AI428" s="10">
        <f t="shared" si="416"/>
        <v>0</v>
      </c>
      <c r="AJ428" s="10">
        <f t="shared" si="417"/>
        <v>0</v>
      </c>
      <c r="AK428" s="10">
        <f t="shared" si="418"/>
        <v>0</v>
      </c>
      <c r="AL428" s="10">
        <f t="shared" si="419"/>
        <v>0</v>
      </c>
      <c r="AM428" s="10">
        <f t="shared" si="420"/>
        <v>0</v>
      </c>
      <c r="AN428" s="46">
        <f t="shared" si="421"/>
        <v>0</v>
      </c>
      <c r="AO428" s="10">
        <f t="shared" si="422"/>
        <v>0</v>
      </c>
      <c r="AP428" s="10">
        <f t="shared" si="423"/>
        <v>0</v>
      </c>
      <c r="AQ428" s="10">
        <f t="shared" si="424"/>
        <v>0</v>
      </c>
      <c r="AR428" s="10">
        <f t="shared" si="425"/>
        <v>0</v>
      </c>
      <c r="AS428" s="10">
        <f t="shared" si="426"/>
        <v>0</v>
      </c>
      <c r="AT428" s="10">
        <f t="shared" si="427"/>
        <v>0</v>
      </c>
      <c r="AU428" s="10">
        <f t="shared" si="428"/>
        <v>0</v>
      </c>
      <c r="AV428" s="10">
        <f t="shared" si="429"/>
        <v>0</v>
      </c>
      <c r="AW428" s="10">
        <f t="shared" si="430"/>
        <v>0</v>
      </c>
      <c r="AX428" s="10">
        <f t="shared" si="431"/>
        <v>0</v>
      </c>
    </row>
    <row r="429" spans="1:50" x14ac:dyDescent="0.2">
      <c r="A429" s="8">
        <v>16700</v>
      </c>
      <c r="B429" s="89" t="str">
        <f t="shared" si="383"/>
        <v>Ryde</v>
      </c>
      <c r="C429" s="9" t="str">
        <f t="shared" si="384"/>
        <v>NSROC</v>
      </c>
      <c r="D429" s="51" t="str">
        <f t="shared" si="385"/>
        <v>S</v>
      </c>
      <c r="E429" s="10">
        <f t="shared" si="386"/>
        <v>0</v>
      </c>
      <c r="F429" s="10">
        <f t="shared" si="387"/>
        <v>133224</v>
      </c>
      <c r="G429" s="10">
        <f t="shared" si="388"/>
        <v>51509</v>
      </c>
      <c r="H429" s="10">
        <f t="shared" si="389"/>
        <v>2.5864217903667321</v>
      </c>
      <c r="I429" s="10">
        <f t="shared" si="390"/>
        <v>40.5</v>
      </c>
      <c r="J429" s="10">
        <f t="shared" si="391"/>
        <v>3291.5</v>
      </c>
      <c r="K429" s="10">
        <f t="shared" si="392"/>
        <v>433</v>
      </c>
      <c r="L429" s="10" t="str">
        <f t="shared" si="393"/>
        <v>Y</v>
      </c>
      <c r="M429" s="10">
        <f t="shared" si="394"/>
        <v>34664</v>
      </c>
      <c r="N429" s="10">
        <f t="shared" si="395"/>
        <v>35985</v>
      </c>
      <c r="O429" s="10">
        <f t="shared" si="396"/>
        <v>28525</v>
      </c>
      <c r="P429" s="10">
        <f t="shared" si="397"/>
        <v>0</v>
      </c>
      <c r="Q429" s="10">
        <f t="shared" si="398"/>
        <v>51509</v>
      </c>
      <c r="R429" s="10" t="str">
        <f t="shared" si="399"/>
        <v>Yes</v>
      </c>
      <c r="S429" s="10">
        <f t="shared" si="400"/>
        <v>0</v>
      </c>
      <c r="T429" s="10">
        <f t="shared" si="401"/>
        <v>0</v>
      </c>
      <c r="U429" s="10">
        <f t="shared" si="402"/>
        <v>0</v>
      </c>
      <c r="V429" s="10">
        <f t="shared" si="403"/>
        <v>0</v>
      </c>
      <c r="W429" s="10">
        <f t="shared" si="404"/>
        <v>0</v>
      </c>
      <c r="X429" s="10">
        <f t="shared" si="405"/>
        <v>0</v>
      </c>
      <c r="Y429" s="10">
        <f t="shared" si="406"/>
        <v>0</v>
      </c>
      <c r="Z429" s="10">
        <f t="shared" si="407"/>
        <v>0</v>
      </c>
      <c r="AA429" s="10">
        <f t="shared" si="408"/>
        <v>0</v>
      </c>
      <c r="AB429" s="10">
        <f t="shared" si="409"/>
        <v>0</v>
      </c>
      <c r="AC429" s="10">
        <f t="shared" si="410"/>
        <v>0</v>
      </c>
      <c r="AD429" s="10">
        <f t="shared" si="411"/>
        <v>0</v>
      </c>
      <c r="AE429" s="10">
        <f t="shared" si="412"/>
        <v>0</v>
      </c>
      <c r="AF429" s="10">
        <f t="shared" si="413"/>
        <v>0</v>
      </c>
      <c r="AG429" s="10">
        <f t="shared" si="414"/>
        <v>0</v>
      </c>
      <c r="AH429" s="10">
        <f t="shared" si="415"/>
        <v>0</v>
      </c>
      <c r="AI429" s="10">
        <f t="shared" si="416"/>
        <v>0</v>
      </c>
      <c r="AJ429" s="10">
        <f t="shared" si="417"/>
        <v>0</v>
      </c>
      <c r="AK429" s="10">
        <f t="shared" si="418"/>
        <v>0</v>
      </c>
      <c r="AL429" s="10">
        <f t="shared" si="419"/>
        <v>0</v>
      </c>
      <c r="AM429" s="10">
        <f t="shared" si="420"/>
        <v>0</v>
      </c>
      <c r="AN429" s="46">
        <f t="shared" si="421"/>
        <v>0</v>
      </c>
      <c r="AO429" s="10">
        <f t="shared" si="422"/>
        <v>0</v>
      </c>
      <c r="AP429" s="10">
        <f t="shared" si="423"/>
        <v>0</v>
      </c>
      <c r="AQ429" s="10">
        <f t="shared" si="424"/>
        <v>0</v>
      </c>
      <c r="AR429" s="10">
        <f t="shared" si="425"/>
        <v>0</v>
      </c>
      <c r="AS429" s="10">
        <f t="shared" si="426"/>
        <v>0</v>
      </c>
      <c r="AT429" s="10">
        <f t="shared" si="427"/>
        <v>0</v>
      </c>
      <c r="AU429" s="10">
        <f t="shared" si="428"/>
        <v>0</v>
      </c>
      <c r="AV429" s="10">
        <f t="shared" si="429"/>
        <v>0</v>
      </c>
      <c r="AW429" s="10">
        <f t="shared" si="430"/>
        <v>0</v>
      </c>
      <c r="AX429" s="10">
        <f t="shared" si="431"/>
        <v>0</v>
      </c>
    </row>
    <row r="430" spans="1:50" x14ac:dyDescent="0.2">
      <c r="A430" s="8">
        <v>17100</v>
      </c>
      <c r="B430" s="89" t="str">
        <f t="shared" si="383"/>
        <v>Strathfield</v>
      </c>
      <c r="C430" s="9">
        <f t="shared" si="384"/>
        <v>0</v>
      </c>
      <c r="D430" s="51" t="str">
        <f t="shared" si="385"/>
        <v>S</v>
      </c>
      <c r="E430" s="10">
        <f t="shared" si="386"/>
        <v>0</v>
      </c>
      <c r="F430" s="10">
        <f t="shared" si="387"/>
        <v>47767</v>
      </c>
      <c r="G430" s="10">
        <f t="shared" si="388"/>
        <v>16350</v>
      </c>
      <c r="H430" s="10">
        <f t="shared" si="389"/>
        <v>2.9215290519877675</v>
      </c>
      <c r="I430" s="10">
        <f t="shared" si="390"/>
        <v>14</v>
      </c>
      <c r="J430" s="10">
        <f t="shared" si="391"/>
        <v>3411.7</v>
      </c>
      <c r="K430" s="10">
        <f t="shared" si="392"/>
        <v>760</v>
      </c>
      <c r="L430" s="10" t="str">
        <f t="shared" si="393"/>
        <v>Y</v>
      </c>
      <c r="M430" s="10">
        <f t="shared" si="394"/>
        <v>16052</v>
      </c>
      <c r="N430" s="10">
        <f t="shared" si="395"/>
        <v>16052</v>
      </c>
      <c r="O430" s="10">
        <f t="shared" si="396"/>
        <v>6589</v>
      </c>
      <c r="P430" s="10">
        <f t="shared" si="397"/>
        <v>0</v>
      </c>
      <c r="Q430" s="10">
        <f t="shared" si="398"/>
        <v>16350</v>
      </c>
      <c r="R430" s="10" t="str">
        <f t="shared" si="399"/>
        <v>Yes</v>
      </c>
      <c r="S430" s="10">
        <f t="shared" si="400"/>
        <v>0</v>
      </c>
      <c r="T430" s="10">
        <f t="shared" si="401"/>
        <v>0</v>
      </c>
      <c r="U430" s="10">
        <f t="shared" si="402"/>
        <v>0</v>
      </c>
      <c r="V430" s="10">
        <f t="shared" si="403"/>
        <v>0</v>
      </c>
      <c r="W430" s="10">
        <f t="shared" si="404"/>
        <v>0</v>
      </c>
      <c r="X430" s="10">
        <f t="shared" si="405"/>
        <v>0</v>
      </c>
      <c r="Y430" s="10">
        <f t="shared" si="406"/>
        <v>0</v>
      </c>
      <c r="Z430" s="10">
        <f t="shared" si="407"/>
        <v>0</v>
      </c>
      <c r="AA430" s="10">
        <f t="shared" si="408"/>
        <v>0</v>
      </c>
      <c r="AB430" s="10">
        <f t="shared" si="409"/>
        <v>0</v>
      </c>
      <c r="AC430" s="10">
        <f t="shared" si="410"/>
        <v>0</v>
      </c>
      <c r="AD430" s="10">
        <f t="shared" si="411"/>
        <v>0</v>
      </c>
      <c r="AE430" s="10">
        <f t="shared" si="412"/>
        <v>0</v>
      </c>
      <c r="AF430" s="10">
        <f t="shared" si="413"/>
        <v>0</v>
      </c>
      <c r="AG430" s="10">
        <f t="shared" si="414"/>
        <v>0</v>
      </c>
      <c r="AH430" s="10">
        <f t="shared" si="415"/>
        <v>0</v>
      </c>
      <c r="AI430" s="10">
        <f t="shared" si="416"/>
        <v>0</v>
      </c>
      <c r="AJ430" s="10">
        <f t="shared" si="417"/>
        <v>0</v>
      </c>
      <c r="AK430" s="10">
        <f t="shared" si="418"/>
        <v>0</v>
      </c>
      <c r="AL430" s="10">
        <f t="shared" si="419"/>
        <v>0</v>
      </c>
      <c r="AM430" s="10">
        <f t="shared" si="420"/>
        <v>0</v>
      </c>
      <c r="AN430" s="46">
        <f t="shared" si="421"/>
        <v>0</v>
      </c>
      <c r="AO430" s="10">
        <f t="shared" si="422"/>
        <v>0</v>
      </c>
      <c r="AP430" s="10">
        <f t="shared" si="423"/>
        <v>0</v>
      </c>
      <c r="AQ430" s="10">
        <f t="shared" si="424"/>
        <v>0</v>
      </c>
      <c r="AR430" s="10">
        <f t="shared" si="425"/>
        <v>0</v>
      </c>
      <c r="AS430" s="10">
        <f t="shared" si="426"/>
        <v>0</v>
      </c>
      <c r="AT430" s="10">
        <f t="shared" si="427"/>
        <v>0</v>
      </c>
      <c r="AU430" s="10">
        <f t="shared" si="428"/>
        <v>0</v>
      </c>
      <c r="AV430" s="10">
        <f t="shared" si="429"/>
        <v>0</v>
      </c>
      <c r="AW430" s="10">
        <f t="shared" si="430"/>
        <v>0</v>
      </c>
      <c r="AX430" s="10">
        <f t="shared" si="431"/>
        <v>0</v>
      </c>
    </row>
    <row r="431" spans="1:50" x14ac:dyDescent="0.2">
      <c r="A431" s="8">
        <v>17150</v>
      </c>
      <c r="B431" s="89" t="str">
        <f t="shared" si="383"/>
        <v>Sutherland Shire</v>
      </c>
      <c r="C431" s="9" t="str">
        <f t="shared" si="384"/>
        <v>SSROC</v>
      </c>
      <c r="D431" s="51" t="str">
        <f t="shared" si="385"/>
        <v>S</v>
      </c>
      <c r="E431" s="10">
        <f t="shared" si="386"/>
        <v>0</v>
      </c>
      <c r="F431" s="10">
        <f t="shared" si="387"/>
        <v>232369</v>
      </c>
      <c r="G431" s="10">
        <f t="shared" si="388"/>
        <v>87888</v>
      </c>
      <c r="H431" s="10">
        <f t="shared" si="389"/>
        <v>2.6439218095758239</v>
      </c>
      <c r="I431" s="10">
        <f t="shared" si="390"/>
        <v>333.6</v>
      </c>
      <c r="J431" s="10">
        <f t="shared" si="391"/>
        <v>696.6</v>
      </c>
      <c r="K431" s="10">
        <f t="shared" si="392"/>
        <v>456.3</v>
      </c>
      <c r="L431" s="10" t="str">
        <f t="shared" si="393"/>
        <v>Y</v>
      </c>
      <c r="M431" s="10">
        <f t="shared" si="394"/>
        <v>87150</v>
      </c>
      <c r="N431" s="10">
        <f t="shared" si="395"/>
        <v>85226</v>
      </c>
      <c r="O431" s="10">
        <f t="shared" si="396"/>
        <v>85226</v>
      </c>
      <c r="P431" s="10">
        <f t="shared" si="397"/>
        <v>0</v>
      </c>
      <c r="Q431" s="10">
        <f t="shared" si="398"/>
        <v>87888</v>
      </c>
      <c r="R431" s="10" t="str">
        <f t="shared" si="399"/>
        <v>Yes</v>
      </c>
      <c r="S431" s="10">
        <f t="shared" si="400"/>
        <v>0</v>
      </c>
      <c r="T431" s="10">
        <f t="shared" si="401"/>
        <v>0</v>
      </c>
      <c r="U431" s="10">
        <f t="shared" si="402"/>
        <v>0</v>
      </c>
      <c r="V431" s="10">
        <f t="shared" si="403"/>
        <v>0</v>
      </c>
      <c r="W431" s="10">
        <f t="shared" si="404"/>
        <v>0</v>
      </c>
      <c r="X431" s="10">
        <f t="shared" si="405"/>
        <v>0</v>
      </c>
      <c r="Y431" s="10">
        <f t="shared" si="406"/>
        <v>0</v>
      </c>
      <c r="Z431" s="10">
        <f t="shared" si="407"/>
        <v>0</v>
      </c>
      <c r="AA431" s="10">
        <f t="shared" si="408"/>
        <v>0</v>
      </c>
      <c r="AB431" s="10">
        <f t="shared" si="409"/>
        <v>0</v>
      </c>
      <c r="AC431" s="10">
        <f t="shared" si="410"/>
        <v>0</v>
      </c>
      <c r="AD431" s="10">
        <f t="shared" si="411"/>
        <v>0</v>
      </c>
      <c r="AE431" s="10">
        <f t="shared" si="412"/>
        <v>0</v>
      </c>
      <c r="AF431" s="10">
        <f t="shared" si="413"/>
        <v>0</v>
      </c>
      <c r="AG431" s="10">
        <f t="shared" si="414"/>
        <v>0</v>
      </c>
      <c r="AH431" s="10">
        <f t="shared" si="415"/>
        <v>0</v>
      </c>
      <c r="AI431" s="10">
        <f t="shared" si="416"/>
        <v>0</v>
      </c>
      <c r="AJ431" s="10">
        <f t="shared" si="417"/>
        <v>0</v>
      </c>
      <c r="AK431" s="10">
        <f t="shared" si="418"/>
        <v>0</v>
      </c>
      <c r="AL431" s="10">
        <f t="shared" si="419"/>
        <v>0</v>
      </c>
      <c r="AM431" s="10">
        <f t="shared" si="420"/>
        <v>0</v>
      </c>
      <c r="AN431" s="46">
        <f t="shared" si="421"/>
        <v>0</v>
      </c>
      <c r="AO431" s="10">
        <f t="shared" si="422"/>
        <v>0</v>
      </c>
      <c r="AP431" s="10">
        <f t="shared" si="423"/>
        <v>0</v>
      </c>
      <c r="AQ431" s="10">
        <f t="shared" si="424"/>
        <v>0</v>
      </c>
      <c r="AR431" s="10">
        <f t="shared" si="425"/>
        <v>0</v>
      </c>
      <c r="AS431" s="10">
        <f t="shared" si="426"/>
        <v>0</v>
      </c>
      <c r="AT431" s="10">
        <f t="shared" si="427"/>
        <v>0</v>
      </c>
      <c r="AU431" s="10">
        <f t="shared" si="428"/>
        <v>0</v>
      </c>
      <c r="AV431" s="10">
        <f t="shared" si="429"/>
        <v>0</v>
      </c>
      <c r="AW431" s="10">
        <f t="shared" si="430"/>
        <v>0</v>
      </c>
      <c r="AX431" s="10">
        <f t="shared" si="431"/>
        <v>0</v>
      </c>
    </row>
    <row r="432" spans="1:50" x14ac:dyDescent="0.2">
      <c r="A432" s="8">
        <v>17200</v>
      </c>
      <c r="B432" s="89" t="str">
        <f t="shared" si="383"/>
        <v>Sydney</v>
      </c>
      <c r="C432" s="9" t="str">
        <f t="shared" si="384"/>
        <v>SSROC</v>
      </c>
      <c r="D432" s="51" t="str">
        <f t="shared" si="385"/>
        <v>S</v>
      </c>
      <c r="E432" s="10">
        <f t="shared" si="386"/>
        <v>0</v>
      </c>
      <c r="F432" s="10">
        <f t="shared" si="387"/>
        <v>248736</v>
      </c>
      <c r="G432" s="10">
        <f t="shared" si="388"/>
        <v>130963</v>
      </c>
      <c r="H432" s="10">
        <f t="shared" si="389"/>
        <v>1.899284530745325</v>
      </c>
      <c r="I432" s="10">
        <f t="shared" si="390"/>
        <v>26.7</v>
      </c>
      <c r="J432" s="10">
        <f t="shared" si="391"/>
        <v>9301</v>
      </c>
      <c r="K432" s="10">
        <f t="shared" si="392"/>
        <v>372</v>
      </c>
      <c r="L432" s="10" t="str">
        <f t="shared" si="393"/>
        <v>Y</v>
      </c>
      <c r="M432" s="10">
        <f t="shared" si="394"/>
        <v>37539</v>
      </c>
      <c r="N432" s="10">
        <f t="shared" si="395"/>
        <v>40147</v>
      </c>
      <c r="O432" s="10">
        <f t="shared" si="396"/>
        <v>8134</v>
      </c>
      <c r="P432" s="10">
        <f t="shared" si="397"/>
        <v>0</v>
      </c>
      <c r="Q432" s="10">
        <f t="shared" si="398"/>
        <v>130963</v>
      </c>
      <c r="R432" s="10" t="str">
        <f t="shared" si="399"/>
        <v>Yes</v>
      </c>
      <c r="S432" s="10">
        <f t="shared" si="400"/>
        <v>0</v>
      </c>
      <c r="T432" s="10">
        <f t="shared" si="401"/>
        <v>0</v>
      </c>
      <c r="U432" s="10">
        <f t="shared" si="402"/>
        <v>0</v>
      </c>
      <c r="V432" s="10">
        <f t="shared" si="403"/>
        <v>0</v>
      </c>
      <c r="W432" s="10">
        <f t="shared" si="404"/>
        <v>0</v>
      </c>
      <c r="X432" s="10">
        <f t="shared" si="405"/>
        <v>0</v>
      </c>
      <c r="Y432" s="10">
        <f t="shared" si="406"/>
        <v>0</v>
      </c>
      <c r="Z432" s="10">
        <f t="shared" si="407"/>
        <v>0</v>
      </c>
      <c r="AA432" s="10">
        <f t="shared" si="408"/>
        <v>0</v>
      </c>
      <c r="AB432" s="10">
        <f t="shared" si="409"/>
        <v>0</v>
      </c>
      <c r="AC432" s="10">
        <f t="shared" si="410"/>
        <v>0</v>
      </c>
      <c r="AD432" s="10">
        <f t="shared" si="411"/>
        <v>0</v>
      </c>
      <c r="AE432" s="10">
        <f t="shared" si="412"/>
        <v>0</v>
      </c>
      <c r="AF432" s="10">
        <f t="shared" si="413"/>
        <v>0</v>
      </c>
      <c r="AG432" s="10">
        <f t="shared" si="414"/>
        <v>0</v>
      </c>
      <c r="AH432" s="10">
        <f t="shared" si="415"/>
        <v>0</v>
      </c>
      <c r="AI432" s="10">
        <f t="shared" si="416"/>
        <v>0</v>
      </c>
      <c r="AJ432" s="10">
        <f t="shared" si="417"/>
        <v>0</v>
      </c>
      <c r="AK432" s="10">
        <f t="shared" si="418"/>
        <v>0</v>
      </c>
      <c r="AL432" s="10">
        <f t="shared" si="419"/>
        <v>0</v>
      </c>
      <c r="AM432" s="10">
        <f t="shared" si="420"/>
        <v>0</v>
      </c>
      <c r="AN432" s="46">
        <f t="shared" si="421"/>
        <v>0</v>
      </c>
      <c r="AO432" s="10">
        <f t="shared" si="422"/>
        <v>0</v>
      </c>
      <c r="AP432" s="10">
        <f t="shared" si="423"/>
        <v>0</v>
      </c>
      <c r="AQ432" s="10">
        <f t="shared" si="424"/>
        <v>0</v>
      </c>
      <c r="AR432" s="10">
        <f t="shared" si="425"/>
        <v>0</v>
      </c>
      <c r="AS432" s="10">
        <f t="shared" si="426"/>
        <v>0</v>
      </c>
      <c r="AT432" s="10">
        <f t="shared" si="427"/>
        <v>0</v>
      </c>
      <c r="AU432" s="10">
        <f t="shared" si="428"/>
        <v>0</v>
      </c>
      <c r="AV432" s="10">
        <f t="shared" si="429"/>
        <v>0</v>
      </c>
      <c r="AW432" s="10">
        <f t="shared" si="430"/>
        <v>0</v>
      </c>
      <c r="AX432" s="10">
        <f t="shared" si="431"/>
        <v>0</v>
      </c>
    </row>
    <row r="433" spans="1:50" x14ac:dyDescent="0.2">
      <c r="A433" s="8">
        <v>17420</v>
      </c>
      <c r="B433" s="89" t="str">
        <f t="shared" si="383"/>
        <v>The Hills Shire</v>
      </c>
      <c r="C433" s="9" t="str">
        <f t="shared" si="384"/>
        <v>WSROC</v>
      </c>
      <c r="D433" s="51" t="str">
        <f t="shared" si="385"/>
        <v>S</v>
      </c>
      <c r="E433" s="10">
        <f t="shared" si="386"/>
        <v>0</v>
      </c>
      <c r="F433" s="10">
        <f t="shared" si="387"/>
        <v>183791</v>
      </c>
      <c r="G433" s="10">
        <f t="shared" si="388"/>
        <v>68021</v>
      </c>
      <c r="H433" s="10">
        <f t="shared" si="389"/>
        <v>2.7019743902618307</v>
      </c>
      <c r="I433" s="10">
        <f t="shared" si="390"/>
        <v>386.2</v>
      </c>
      <c r="J433" s="10">
        <f t="shared" si="391"/>
        <v>475.9</v>
      </c>
      <c r="K433" s="10">
        <f t="shared" si="392"/>
        <v>425</v>
      </c>
      <c r="L433" s="10" t="str">
        <f t="shared" si="393"/>
        <v>Y</v>
      </c>
      <c r="M433" s="10">
        <f t="shared" si="394"/>
        <v>55868</v>
      </c>
      <c r="N433" s="10">
        <f t="shared" si="395"/>
        <v>54620</v>
      </c>
      <c r="O433" s="10">
        <f t="shared" si="396"/>
        <v>54862</v>
      </c>
      <c r="P433" s="10">
        <f t="shared" si="397"/>
        <v>0</v>
      </c>
      <c r="Q433" s="10">
        <f t="shared" si="398"/>
        <v>68021</v>
      </c>
      <c r="R433" s="10" t="str">
        <f t="shared" si="399"/>
        <v>Yes</v>
      </c>
      <c r="S433" s="10">
        <f t="shared" si="400"/>
        <v>0</v>
      </c>
      <c r="T433" s="10">
        <f t="shared" si="401"/>
        <v>0</v>
      </c>
      <c r="U433" s="10">
        <f t="shared" si="402"/>
        <v>0</v>
      </c>
      <c r="V433" s="10">
        <f t="shared" si="403"/>
        <v>0</v>
      </c>
      <c r="W433" s="10">
        <f t="shared" si="404"/>
        <v>0</v>
      </c>
      <c r="X433" s="10">
        <f t="shared" si="405"/>
        <v>0</v>
      </c>
      <c r="Y433" s="10">
        <f t="shared" si="406"/>
        <v>0</v>
      </c>
      <c r="Z433" s="10">
        <f t="shared" si="407"/>
        <v>0</v>
      </c>
      <c r="AA433" s="10">
        <f t="shared" si="408"/>
        <v>0</v>
      </c>
      <c r="AB433" s="10">
        <f t="shared" si="409"/>
        <v>0</v>
      </c>
      <c r="AC433" s="10">
        <f t="shared" si="410"/>
        <v>0</v>
      </c>
      <c r="AD433" s="10">
        <f t="shared" si="411"/>
        <v>0</v>
      </c>
      <c r="AE433" s="10">
        <f t="shared" si="412"/>
        <v>0</v>
      </c>
      <c r="AF433" s="10">
        <f t="shared" si="413"/>
        <v>0</v>
      </c>
      <c r="AG433" s="10">
        <f t="shared" si="414"/>
        <v>0</v>
      </c>
      <c r="AH433" s="10">
        <f t="shared" si="415"/>
        <v>0</v>
      </c>
      <c r="AI433" s="10">
        <f t="shared" si="416"/>
        <v>0</v>
      </c>
      <c r="AJ433" s="10">
        <f t="shared" si="417"/>
        <v>0</v>
      </c>
      <c r="AK433" s="10">
        <f t="shared" si="418"/>
        <v>0</v>
      </c>
      <c r="AL433" s="10">
        <f t="shared" si="419"/>
        <v>0</v>
      </c>
      <c r="AM433" s="10">
        <f t="shared" si="420"/>
        <v>0</v>
      </c>
      <c r="AN433" s="46">
        <f t="shared" si="421"/>
        <v>0</v>
      </c>
      <c r="AO433" s="10">
        <f t="shared" si="422"/>
        <v>0</v>
      </c>
      <c r="AP433" s="10">
        <f t="shared" si="423"/>
        <v>0</v>
      </c>
      <c r="AQ433" s="10">
        <f t="shared" si="424"/>
        <v>0</v>
      </c>
      <c r="AR433" s="10">
        <f t="shared" si="425"/>
        <v>0</v>
      </c>
      <c r="AS433" s="10">
        <f t="shared" si="426"/>
        <v>0</v>
      </c>
      <c r="AT433" s="10">
        <f t="shared" si="427"/>
        <v>0</v>
      </c>
      <c r="AU433" s="10">
        <f t="shared" si="428"/>
        <v>0</v>
      </c>
      <c r="AV433" s="10">
        <f t="shared" si="429"/>
        <v>0</v>
      </c>
      <c r="AW433" s="10">
        <f t="shared" si="430"/>
        <v>0</v>
      </c>
      <c r="AX433" s="10">
        <f t="shared" si="431"/>
        <v>0</v>
      </c>
    </row>
    <row r="434" spans="1:50" x14ac:dyDescent="0.2">
      <c r="A434" s="8">
        <v>18050</v>
      </c>
      <c r="B434" s="89" t="str">
        <f t="shared" si="383"/>
        <v>Waverley</v>
      </c>
      <c r="C434" s="9" t="str">
        <f t="shared" si="384"/>
        <v>SSROC</v>
      </c>
      <c r="D434" s="51" t="str">
        <f t="shared" si="385"/>
        <v>S</v>
      </c>
      <c r="E434" s="10">
        <f t="shared" si="386"/>
        <v>0</v>
      </c>
      <c r="F434" s="10">
        <f t="shared" si="387"/>
        <v>74276</v>
      </c>
      <c r="G434" s="10">
        <f t="shared" si="388"/>
        <v>29754</v>
      </c>
      <c r="H434" s="10">
        <f t="shared" si="389"/>
        <v>2.4963366270081333</v>
      </c>
      <c r="I434" s="10">
        <f t="shared" si="390"/>
        <v>9.4</v>
      </c>
      <c r="J434" s="10">
        <f t="shared" si="391"/>
        <v>7943.4</v>
      </c>
      <c r="K434" s="10">
        <f t="shared" si="392"/>
        <v>576</v>
      </c>
      <c r="L434" s="10" t="str">
        <f t="shared" si="393"/>
        <v>Y</v>
      </c>
      <c r="M434" s="10">
        <f t="shared" si="394"/>
        <v>29748</v>
      </c>
      <c r="N434" s="10">
        <f t="shared" si="395"/>
        <v>29754</v>
      </c>
      <c r="O434" s="10">
        <f t="shared" si="396"/>
        <v>29748</v>
      </c>
      <c r="P434" s="10">
        <f t="shared" si="397"/>
        <v>0</v>
      </c>
      <c r="Q434" s="10">
        <f t="shared" si="398"/>
        <v>29754</v>
      </c>
      <c r="R434" s="10" t="str">
        <f t="shared" si="399"/>
        <v>Yes</v>
      </c>
      <c r="S434" s="10">
        <f t="shared" si="400"/>
        <v>0</v>
      </c>
      <c r="T434" s="10">
        <f t="shared" si="401"/>
        <v>0</v>
      </c>
      <c r="U434" s="10">
        <f t="shared" si="402"/>
        <v>0</v>
      </c>
      <c r="V434" s="10">
        <f t="shared" si="403"/>
        <v>0</v>
      </c>
      <c r="W434" s="10">
        <f t="shared" si="404"/>
        <v>0</v>
      </c>
      <c r="X434" s="10">
        <f t="shared" si="405"/>
        <v>0</v>
      </c>
      <c r="Y434" s="10">
        <f t="shared" si="406"/>
        <v>0</v>
      </c>
      <c r="Z434" s="10">
        <f t="shared" si="407"/>
        <v>0</v>
      </c>
      <c r="AA434" s="10">
        <f t="shared" si="408"/>
        <v>0</v>
      </c>
      <c r="AB434" s="10">
        <f t="shared" si="409"/>
        <v>0</v>
      </c>
      <c r="AC434" s="10">
        <f t="shared" si="410"/>
        <v>0</v>
      </c>
      <c r="AD434" s="10">
        <f t="shared" si="411"/>
        <v>0</v>
      </c>
      <c r="AE434" s="10">
        <f t="shared" si="412"/>
        <v>0</v>
      </c>
      <c r="AF434" s="10">
        <f t="shared" si="413"/>
        <v>0</v>
      </c>
      <c r="AG434" s="10">
        <f t="shared" si="414"/>
        <v>0</v>
      </c>
      <c r="AH434" s="10">
        <f t="shared" si="415"/>
        <v>0</v>
      </c>
      <c r="AI434" s="10">
        <f t="shared" si="416"/>
        <v>0</v>
      </c>
      <c r="AJ434" s="10">
        <f t="shared" si="417"/>
        <v>0</v>
      </c>
      <c r="AK434" s="10">
        <f t="shared" si="418"/>
        <v>0</v>
      </c>
      <c r="AL434" s="10">
        <f t="shared" si="419"/>
        <v>0</v>
      </c>
      <c r="AM434" s="10">
        <f t="shared" si="420"/>
        <v>0</v>
      </c>
      <c r="AN434" s="46">
        <f t="shared" si="421"/>
        <v>0</v>
      </c>
      <c r="AO434" s="10">
        <f t="shared" si="422"/>
        <v>0</v>
      </c>
      <c r="AP434" s="10">
        <f t="shared" si="423"/>
        <v>0</v>
      </c>
      <c r="AQ434" s="10">
        <f t="shared" si="424"/>
        <v>0</v>
      </c>
      <c r="AR434" s="10">
        <f t="shared" si="425"/>
        <v>0</v>
      </c>
      <c r="AS434" s="10">
        <f t="shared" si="426"/>
        <v>0</v>
      </c>
      <c r="AT434" s="10">
        <f t="shared" si="427"/>
        <v>0</v>
      </c>
      <c r="AU434" s="10">
        <f t="shared" si="428"/>
        <v>0</v>
      </c>
      <c r="AV434" s="10">
        <f t="shared" si="429"/>
        <v>0</v>
      </c>
      <c r="AW434" s="10">
        <f t="shared" si="430"/>
        <v>0</v>
      </c>
      <c r="AX434" s="10">
        <f t="shared" si="431"/>
        <v>0</v>
      </c>
    </row>
    <row r="435" spans="1:50" x14ac:dyDescent="0.2">
      <c r="A435" s="8">
        <v>18250</v>
      </c>
      <c r="B435" s="89" t="str">
        <f t="shared" si="383"/>
        <v>Willoughby</v>
      </c>
      <c r="C435" s="9" t="str">
        <f t="shared" si="384"/>
        <v>NSROC</v>
      </c>
      <c r="D435" s="51" t="str">
        <f t="shared" si="385"/>
        <v>S</v>
      </c>
      <c r="E435" s="10">
        <f t="shared" si="386"/>
        <v>0</v>
      </c>
      <c r="F435" s="10">
        <f t="shared" si="387"/>
        <v>81196</v>
      </c>
      <c r="G435" s="10">
        <f t="shared" si="388"/>
        <v>32319</v>
      </c>
      <c r="H435" s="10">
        <f t="shared" si="389"/>
        <v>2.5123302082366408</v>
      </c>
      <c r="I435" s="10">
        <f t="shared" si="390"/>
        <v>22.4</v>
      </c>
      <c r="J435" s="10">
        <f t="shared" si="391"/>
        <v>3620.7</v>
      </c>
      <c r="K435" s="10">
        <f t="shared" si="392"/>
        <v>530</v>
      </c>
      <c r="L435" s="10" t="str">
        <f t="shared" si="393"/>
        <v>Y</v>
      </c>
      <c r="M435" s="10">
        <f t="shared" si="394"/>
        <v>29827</v>
      </c>
      <c r="N435" s="10">
        <f t="shared" si="395"/>
        <v>32319</v>
      </c>
      <c r="O435" s="10">
        <f t="shared" si="396"/>
        <v>13356</v>
      </c>
      <c r="P435" s="10">
        <f t="shared" si="397"/>
        <v>0</v>
      </c>
      <c r="Q435" s="10">
        <f t="shared" si="398"/>
        <v>32319</v>
      </c>
      <c r="R435" s="10" t="str">
        <f t="shared" si="399"/>
        <v>No</v>
      </c>
      <c r="S435" s="10" t="str">
        <f t="shared" si="400"/>
        <v>Northern Sydney Community Recycling Centre- Artarmon</v>
      </c>
      <c r="T435" s="10">
        <f t="shared" si="401"/>
        <v>0</v>
      </c>
      <c r="U435" s="10">
        <f t="shared" si="402"/>
        <v>0</v>
      </c>
      <c r="V435" s="10">
        <f t="shared" si="403"/>
        <v>0</v>
      </c>
      <c r="W435" s="10">
        <f t="shared" si="404"/>
        <v>0</v>
      </c>
      <c r="X435" s="10">
        <f t="shared" si="405"/>
        <v>0</v>
      </c>
      <c r="Y435" s="10">
        <f t="shared" si="406"/>
        <v>0</v>
      </c>
      <c r="Z435" s="10">
        <f t="shared" si="407"/>
        <v>0</v>
      </c>
      <c r="AA435" s="10">
        <f t="shared" si="408"/>
        <v>0</v>
      </c>
      <c r="AB435" s="10">
        <f t="shared" si="409"/>
        <v>0</v>
      </c>
      <c r="AC435" s="10">
        <f t="shared" si="410"/>
        <v>0</v>
      </c>
      <c r="AD435" s="10">
        <f t="shared" si="411"/>
        <v>0</v>
      </c>
      <c r="AE435" s="10">
        <f t="shared" si="412"/>
        <v>0</v>
      </c>
      <c r="AF435" s="10">
        <f t="shared" si="413"/>
        <v>0</v>
      </c>
      <c r="AG435" s="10">
        <f t="shared" si="414"/>
        <v>0</v>
      </c>
      <c r="AH435" s="10">
        <f t="shared" si="415"/>
        <v>0</v>
      </c>
      <c r="AI435" s="10">
        <f t="shared" si="416"/>
        <v>0</v>
      </c>
      <c r="AJ435" s="10">
        <f t="shared" si="417"/>
        <v>0</v>
      </c>
      <c r="AK435" s="10">
        <f t="shared" si="418"/>
        <v>0</v>
      </c>
      <c r="AL435" s="10">
        <f t="shared" si="419"/>
        <v>0</v>
      </c>
      <c r="AM435" s="10">
        <f t="shared" si="420"/>
        <v>0</v>
      </c>
      <c r="AN435" s="46">
        <f t="shared" si="421"/>
        <v>0</v>
      </c>
      <c r="AO435" s="10">
        <f t="shared" si="422"/>
        <v>0</v>
      </c>
      <c r="AP435" s="10">
        <f t="shared" si="423"/>
        <v>0</v>
      </c>
      <c r="AQ435" s="10">
        <f t="shared" si="424"/>
        <v>0</v>
      </c>
      <c r="AR435" s="10">
        <f t="shared" si="425"/>
        <v>0</v>
      </c>
      <c r="AS435" s="10">
        <f t="shared" si="426"/>
        <v>0</v>
      </c>
      <c r="AT435" s="10">
        <f t="shared" si="427"/>
        <v>0</v>
      </c>
      <c r="AU435" s="10">
        <f t="shared" si="428"/>
        <v>0</v>
      </c>
      <c r="AV435" s="10">
        <f t="shared" si="429"/>
        <v>0</v>
      </c>
      <c r="AW435" s="10">
        <f t="shared" si="430"/>
        <v>0</v>
      </c>
      <c r="AX435" s="10">
        <f t="shared" si="431"/>
        <v>0</v>
      </c>
    </row>
    <row r="436" spans="1:50" x14ac:dyDescent="0.2">
      <c r="A436" s="8">
        <v>18500</v>
      </c>
      <c r="B436" s="89" t="str">
        <f t="shared" si="383"/>
        <v>Woollahra</v>
      </c>
      <c r="C436" s="9" t="str">
        <f t="shared" si="384"/>
        <v>SSROC</v>
      </c>
      <c r="D436" s="51" t="str">
        <f t="shared" si="385"/>
        <v>S</v>
      </c>
      <c r="E436" s="10">
        <f t="shared" si="386"/>
        <v>0</v>
      </c>
      <c r="F436" s="10">
        <f t="shared" si="387"/>
        <v>59431</v>
      </c>
      <c r="G436" s="10">
        <f t="shared" si="388"/>
        <v>26397</v>
      </c>
      <c r="H436" s="10">
        <f t="shared" si="389"/>
        <v>2.2514300867522823</v>
      </c>
      <c r="I436" s="10">
        <f t="shared" si="390"/>
        <v>12.3</v>
      </c>
      <c r="J436" s="10">
        <f t="shared" si="391"/>
        <v>4840.6000000000004</v>
      </c>
      <c r="K436" s="10">
        <f t="shared" si="392"/>
        <v>536.65</v>
      </c>
      <c r="L436" s="10" t="str">
        <f t="shared" si="393"/>
        <v>Y</v>
      </c>
      <c r="M436" s="10">
        <f t="shared" si="394"/>
        <v>26397</v>
      </c>
      <c r="N436" s="10">
        <f t="shared" si="395"/>
        <v>10811</v>
      </c>
      <c r="O436" s="10">
        <f t="shared" si="396"/>
        <v>0</v>
      </c>
      <c r="P436" s="10">
        <f t="shared" si="397"/>
        <v>26397</v>
      </c>
      <c r="Q436" s="10">
        <f t="shared" si="398"/>
        <v>26397</v>
      </c>
      <c r="R436" s="10" t="str">
        <f t="shared" si="399"/>
        <v>No</v>
      </c>
      <c r="S436" s="10">
        <f t="shared" si="400"/>
        <v>0</v>
      </c>
      <c r="T436" s="10">
        <f t="shared" si="401"/>
        <v>0</v>
      </c>
      <c r="U436" s="10">
        <f t="shared" si="402"/>
        <v>0</v>
      </c>
      <c r="V436" s="10">
        <f t="shared" si="403"/>
        <v>0</v>
      </c>
      <c r="W436" s="10">
        <f t="shared" si="404"/>
        <v>0</v>
      </c>
      <c r="X436" s="10">
        <f t="shared" si="405"/>
        <v>0</v>
      </c>
      <c r="Y436" s="10">
        <f t="shared" si="406"/>
        <v>0</v>
      </c>
      <c r="Z436" s="10">
        <f t="shared" si="407"/>
        <v>0</v>
      </c>
      <c r="AA436" s="10">
        <f t="shared" si="408"/>
        <v>0</v>
      </c>
      <c r="AB436" s="10">
        <f t="shared" si="409"/>
        <v>0</v>
      </c>
      <c r="AC436" s="10">
        <f t="shared" si="410"/>
        <v>0</v>
      </c>
      <c r="AD436" s="10">
        <f t="shared" si="411"/>
        <v>0</v>
      </c>
      <c r="AE436" s="10">
        <f t="shared" si="412"/>
        <v>0</v>
      </c>
      <c r="AF436" s="10">
        <f t="shared" si="413"/>
        <v>0</v>
      </c>
      <c r="AG436" s="10">
        <f t="shared" si="414"/>
        <v>0</v>
      </c>
      <c r="AH436" s="10">
        <f t="shared" si="415"/>
        <v>0</v>
      </c>
      <c r="AI436" s="10">
        <f t="shared" si="416"/>
        <v>0</v>
      </c>
      <c r="AJ436" s="10">
        <f t="shared" si="417"/>
        <v>0</v>
      </c>
      <c r="AK436" s="10">
        <f t="shared" si="418"/>
        <v>0</v>
      </c>
      <c r="AL436" s="10">
        <f t="shared" si="419"/>
        <v>0</v>
      </c>
      <c r="AM436" s="10">
        <f t="shared" si="420"/>
        <v>0</v>
      </c>
      <c r="AN436" s="46">
        <f t="shared" si="421"/>
        <v>0</v>
      </c>
      <c r="AO436" s="10">
        <f t="shared" si="422"/>
        <v>0</v>
      </c>
      <c r="AP436" s="10">
        <f t="shared" si="423"/>
        <v>0</v>
      </c>
      <c r="AQ436" s="10">
        <f t="shared" si="424"/>
        <v>0</v>
      </c>
      <c r="AR436" s="10">
        <f t="shared" si="425"/>
        <v>0</v>
      </c>
      <c r="AS436" s="10">
        <f t="shared" si="426"/>
        <v>0</v>
      </c>
      <c r="AT436" s="10">
        <f t="shared" si="427"/>
        <v>0</v>
      </c>
      <c r="AU436" s="10">
        <f t="shared" si="428"/>
        <v>0</v>
      </c>
      <c r="AV436" s="10">
        <f t="shared" si="429"/>
        <v>0</v>
      </c>
      <c r="AW436" s="10">
        <f t="shared" si="430"/>
        <v>0</v>
      </c>
      <c r="AX436" s="10">
        <f t="shared" si="431"/>
        <v>0</v>
      </c>
    </row>
    <row r="437" spans="1:50" x14ac:dyDescent="0.2">
      <c r="A437" s="8">
        <v>11650</v>
      </c>
      <c r="B437" s="89" t="str">
        <f t="shared" si="383"/>
        <v>Central Coast</v>
      </c>
      <c r="C437" s="9" t="str">
        <f t="shared" si="384"/>
        <v>Hunter</v>
      </c>
      <c r="D437" s="51" t="str">
        <f t="shared" si="385"/>
        <v>E</v>
      </c>
      <c r="E437" s="10">
        <f t="shared" si="386"/>
        <v>0</v>
      </c>
      <c r="F437" s="10">
        <f t="shared" si="387"/>
        <v>345809</v>
      </c>
      <c r="G437" s="10">
        <f t="shared" si="388"/>
        <v>134461</v>
      </c>
      <c r="H437" s="10">
        <f t="shared" si="389"/>
        <v>2.5718163631090056</v>
      </c>
      <c r="I437" s="10">
        <f t="shared" si="390"/>
        <v>1681.1</v>
      </c>
      <c r="J437" s="10">
        <f t="shared" si="391"/>
        <v>205.7</v>
      </c>
      <c r="K437" s="10">
        <f t="shared" si="392"/>
        <v>512</v>
      </c>
      <c r="L437" s="10" t="str">
        <f t="shared" si="393"/>
        <v>Y</v>
      </c>
      <c r="M437" s="10">
        <f t="shared" si="394"/>
        <v>134461</v>
      </c>
      <c r="N437" s="10">
        <f t="shared" si="395"/>
        <v>128460</v>
      </c>
      <c r="O437" s="10">
        <f t="shared" si="396"/>
        <v>124758</v>
      </c>
      <c r="P437" s="10">
        <f t="shared" si="397"/>
        <v>0</v>
      </c>
      <c r="Q437" s="10">
        <f t="shared" si="398"/>
        <v>134461</v>
      </c>
      <c r="R437" s="10" t="str">
        <f t="shared" si="399"/>
        <v>Yes</v>
      </c>
      <c r="S437" s="10" t="str">
        <f t="shared" si="400"/>
        <v>Buttonderry Waste Management Facility - 850 Hue Hue Rd Jilliby</v>
      </c>
      <c r="T437" s="10" t="str">
        <f t="shared" si="401"/>
        <v>Woy Woy Waste Management Facility -Nagari Rd Woy Woy</v>
      </c>
      <c r="U437" s="10">
        <f t="shared" si="402"/>
        <v>0</v>
      </c>
      <c r="V437" s="10">
        <f t="shared" si="403"/>
        <v>0</v>
      </c>
      <c r="W437" s="10">
        <f t="shared" si="404"/>
        <v>0</v>
      </c>
      <c r="X437" s="10">
        <f t="shared" si="405"/>
        <v>0</v>
      </c>
      <c r="Y437" s="10">
        <f t="shared" si="406"/>
        <v>0</v>
      </c>
      <c r="Z437" s="10">
        <f t="shared" si="407"/>
        <v>0</v>
      </c>
      <c r="AA437" s="10">
        <f t="shared" si="408"/>
        <v>0</v>
      </c>
      <c r="AB437" s="10">
        <f t="shared" si="409"/>
        <v>0</v>
      </c>
      <c r="AC437" s="10">
        <f t="shared" si="410"/>
        <v>0</v>
      </c>
      <c r="AD437" s="10">
        <f t="shared" si="411"/>
        <v>0</v>
      </c>
      <c r="AE437" s="10">
        <f t="shared" si="412"/>
        <v>0</v>
      </c>
      <c r="AF437" s="10">
        <f t="shared" si="413"/>
        <v>0</v>
      </c>
      <c r="AG437" s="10">
        <f t="shared" si="414"/>
        <v>0</v>
      </c>
      <c r="AH437" s="10">
        <f t="shared" si="415"/>
        <v>0</v>
      </c>
      <c r="AI437" s="10">
        <f t="shared" si="416"/>
        <v>0</v>
      </c>
      <c r="AJ437" s="10">
        <f t="shared" si="417"/>
        <v>0</v>
      </c>
      <c r="AK437" s="10">
        <f t="shared" si="418"/>
        <v>0</v>
      </c>
      <c r="AL437" s="10">
        <f t="shared" si="419"/>
        <v>0</v>
      </c>
      <c r="AM437" s="10">
        <f t="shared" si="420"/>
        <v>0</v>
      </c>
      <c r="AN437" s="46">
        <f t="shared" si="421"/>
        <v>0</v>
      </c>
      <c r="AO437" s="10">
        <f t="shared" si="422"/>
        <v>0</v>
      </c>
      <c r="AP437" s="10">
        <f t="shared" si="423"/>
        <v>0</v>
      </c>
      <c r="AQ437" s="10">
        <f t="shared" si="424"/>
        <v>0</v>
      </c>
      <c r="AR437" s="10">
        <f t="shared" si="425"/>
        <v>0</v>
      </c>
      <c r="AS437" s="10">
        <f t="shared" si="426"/>
        <v>0</v>
      </c>
      <c r="AT437" s="10">
        <f t="shared" si="427"/>
        <v>0</v>
      </c>
      <c r="AU437" s="10">
        <f t="shared" si="428"/>
        <v>0</v>
      </c>
      <c r="AV437" s="10">
        <f t="shared" si="429"/>
        <v>0</v>
      </c>
      <c r="AW437" s="10">
        <f t="shared" si="430"/>
        <v>0</v>
      </c>
      <c r="AX437" s="10">
        <f t="shared" si="431"/>
        <v>0</v>
      </c>
    </row>
    <row r="438" spans="1:50" x14ac:dyDescent="0.2">
      <c r="A438" s="8">
        <v>11720</v>
      </c>
      <c r="B438" s="89" t="str">
        <f t="shared" si="383"/>
        <v>Cessnock</v>
      </c>
      <c r="C438" s="9" t="str">
        <f t="shared" si="384"/>
        <v>Hunter</v>
      </c>
      <c r="D438" s="51" t="str">
        <f t="shared" si="385"/>
        <v>E</v>
      </c>
      <c r="E438" s="10" t="str">
        <f t="shared" si="386"/>
        <v>HJO</v>
      </c>
      <c r="F438" s="10">
        <f t="shared" si="387"/>
        <v>61256</v>
      </c>
      <c r="G438" s="10">
        <f t="shared" si="388"/>
        <v>28478</v>
      </c>
      <c r="H438" s="10">
        <f t="shared" si="389"/>
        <v>2.1509937495610645</v>
      </c>
      <c r="I438" s="10">
        <f t="shared" si="390"/>
        <v>1965.2</v>
      </c>
      <c r="J438" s="10">
        <f t="shared" si="391"/>
        <v>31.2</v>
      </c>
      <c r="K438" s="10">
        <f t="shared" si="392"/>
        <v>599</v>
      </c>
      <c r="L438" s="10" t="str">
        <f t="shared" si="393"/>
        <v>Y</v>
      </c>
      <c r="M438" s="10">
        <f t="shared" si="394"/>
        <v>23719</v>
      </c>
      <c r="N438" s="10">
        <f t="shared" si="395"/>
        <v>23965</v>
      </c>
      <c r="O438" s="10">
        <f t="shared" si="396"/>
        <v>23834</v>
      </c>
      <c r="P438" s="10">
        <f t="shared" si="397"/>
        <v>0</v>
      </c>
      <c r="Q438" s="10">
        <f t="shared" si="398"/>
        <v>0</v>
      </c>
      <c r="R438" s="10" t="str">
        <f t="shared" si="399"/>
        <v>Yes</v>
      </c>
      <c r="S438" s="10" t="str">
        <f t="shared" si="400"/>
        <v>Cessnock Waste Management Centre, 1967 Old Maitland Rd, Cessnock</v>
      </c>
      <c r="T438" s="10">
        <f t="shared" si="401"/>
        <v>0</v>
      </c>
      <c r="U438" s="10">
        <f t="shared" si="402"/>
        <v>0</v>
      </c>
      <c r="V438" s="10">
        <f t="shared" si="403"/>
        <v>0</v>
      </c>
      <c r="W438" s="10">
        <f t="shared" si="404"/>
        <v>0</v>
      </c>
      <c r="X438" s="10">
        <f t="shared" si="405"/>
        <v>0</v>
      </c>
      <c r="Y438" s="10">
        <f t="shared" si="406"/>
        <v>0</v>
      </c>
      <c r="Z438" s="10">
        <f t="shared" si="407"/>
        <v>0</v>
      </c>
      <c r="AA438" s="10">
        <f t="shared" si="408"/>
        <v>0</v>
      </c>
      <c r="AB438" s="10">
        <f t="shared" si="409"/>
        <v>0</v>
      </c>
      <c r="AC438" s="10">
        <f t="shared" si="410"/>
        <v>0</v>
      </c>
      <c r="AD438" s="10">
        <f t="shared" si="411"/>
        <v>0</v>
      </c>
      <c r="AE438" s="10">
        <f t="shared" si="412"/>
        <v>0</v>
      </c>
      <c r="AF438" s="10">
        <f t="shared" si="413"/>
        <v>0</v>
      </c>
      <c r="AG438" s="10">
        <f t="shared" si="414"/>
        <v>0</v>
      </c>
      <c r="AH438" s="10">
        <f t="shared" si="415"/>
        <v>0</v>
      </c>
      <c r="AI438" s="10">
        <f t="shared" si="416"/>
        <v>0</v>
      </c>
      <c r="AJ438" s="10">
        <f t="shared" si="417"/>
        <v>0</v>
      </c>
      <c r="AK438" s="10">
        <f t="shared" si="418"/>
        <v>0</v>
      </c>
      <c r="AL438" s="10">
        <f t="shared" si="419"/>
        <v>0</v>
      </c>
      <c r="AM438" s="10">
        <f t="shared" si="420"/>
        <v>0</v>
      </c>
      <c r="AN438" s="46">
        <f t="shared" si="421"/>
        <v>0</v>
      </c>
      <c r="AO438" s="10">
        <f t="shared" si="422"/>
        <v>0</v>
      </c>
      <c r="AP438" s="10">
        <f t="shared" si="423"/>
        <v>0</v>
      </c>
      <c r="AQ438" s="10">
        <f t="shared" si="424"/>
        <v>0</v>
      </c>
      <c r="AR438" s="10">
        <f t="shared" si="425"/>
        <v>0</v>
      </c>
      <c r="AS438" s="10">
        <f t="shared" si="426"/>
        <v>0</v>
      </c>
      <c r="AT438" s="10">
        <f t="shared" si="427"/>
        <v>0</v>
      </c>
      <c r="AU438" s="10">
        <f t="shared" si="428"/>
        <v>0</v>
      </c>
      <c r="AV438" s="10">
        <f t="shared" si="429"/>
        <v>0</v>
      </c>
      <c r="AW438" s="10">
        <f t="shared" si="430"/>
        <v>0</v>
      </c>
      <c r="AX438" s="10">
        <f t="shared" si="431"/>
        <v>0</v>
      </c>
    </row>
    <row r="439" spans="1:50" x14ac:dyDescent="0.2">
      <c r="A439" s="8">
        <v>13800</v>
      </c>
      <c r="B439" s="89" t="str">
        <f t="shared" si="383"/>
        <v>Hawkesbury</v>
      </c>
      <c r="C439" s="9" t="str">
        <f t="shared" si="384"/>
        <v>WSROC</v>
      </c>
      <c r="D439" s="51" t="str">
        <f t="shared" si="385"/>
        <v>E</v>
      </c>
      <c r="E439" s="10">
        <f t="shared" si="386"/>
        <v>0</v>
      </c>
      <c r="F439" s="10">
        <f t="shared" si="387"/>
        <v>67749</v>
      </c>
      <c r="G439" s="10">
        <f t="shared" si="388"/>
        <v>24843</v>
      </c>
      <c r="H439" s="10">
        <f t="shared" si="389"/>
        <v>2.7270861007124743</v>
      </c>
      <c r="I439" s="10">
        <f t="shared" si="390"/>
        <v>2775.1</v>
      </c>
      <c r="J439" s="10">
        <f t="shared" si="391"/>
        <v>24.4</v>
      </c>
      <c r="K439" s="10">
        <f t="shared" si="392"/>
        <v>681</v>
      </c>
      <c r="L439" s="10" t="str">
        <f t="shared" si="393"/>
        <v>Y</v>
      </c>
      <c r="M439" s="10">
        <f t="shared" si="394"/>
        <v>23816</v>
      </c>
      <c r="N439" s="10">
        <f t="shared" si="395"/>
        <v>23702</v>
      </c>
      <c r="O439" s="10">
        <f t="shared" si="396"/>
        <v>13987</v>
      </c>
      <c r="P439" s="10">
        <f t="shared" si="397"/>
        <v>0</v>
      </c>
      <c r="Q439" s="10">
        <f t="shared" si="398"/>
        <v>24843</v>
      </c>
      <c r="R439" s="10" t="str">
        <f t="shared" si="399"/>
        <v>Yes</v>
      </c>
      <c r="S439" s="10" t="str">
        <f t="shared" si="400"/>
        <v>Hawkesbury City Waste Management Facility, 1 The Driftway, South Windsor</v>
      </c>
      <c r="T439" s="10">
        <f t="shared" si="401"/>
        <v>0</v>
      </c>
      <c r="U439" s="10">
        <f t="shared" si="402"/>
        <v>0</v>
      </c>
      <c r="V439" s="10">
        <f t="shared" si="403"/>
        <v>0</v>
      </c>
      <c r="W439" s="10">
        <f t="shared" si="404"/>
        <v>0</v>
      </c>
      <c r="X439" s="10">
        <f t="shared" si="405"/>
        <v>0</v>
      </c>
      <c r="Y439" s="10">
        <f t="shared" si="406"/>
        <v>0</v>
      </c>
      <c r="Z439" s="10">
        <f t="shared" si="407"/>
        <v>0</v>
      </c>
      <c r="AA439" s="10">
        <f t="shared" si="408"/>
        <v>0</v>
      </c>
      <c r="AB439" s="10">
        <f t="shared" si="409"/>
        <v>0</v>
      </c>
      <c r="AC439" s="10">
        <f t="shared" si="410"/>
        <v>0</v>
      </c>
      <c r="AD439" s="10">
        <f t="shared" si="411"/>
        <v>0</v>
      </c>
      <c r="AE439" s="10">
        <f t="shared" si="412"/>
        <v>0</v>
      </c>
      <c r="AF439" s="10">
        <f t="shared" si="413"/>
        <v>0</v>
      </c>
      <c r="AG439" s="10">
        <f t="shared" si="414"/>
        <v>0</v>
      </c>
      <c r="AH439" s="10">
        <f t="shared" si="415"/>
        <v>0</v>
      </c>
      <c r="AI439" s="10">
        <f t="shared" si="416"/>
        <v>0</v>
      </c>
      <c r="AJ439" s="10">
        <f t="shared" si="417"/>
        <v>0</v>
      </c>
      <c r="AK439" s="10">
        <f t="shared" si="418"/>
        <v>0</v>
      </c>
      <c r="AL439" s="10">
        <f t="shared" si="419"/>
        <v>0</v>
      </c>
      <c r="AM439" s="10">
        <f t="shared" si="420"/>
        <v>0</v>
      </c>
      <c r="AN439" s="46">
        <f t="shared" si="421"/>
        <v>0</v>
      </c>
      <c r="AO439" s="10">
        <f t="shared" si="422"/>
        <v>0</v>
      </c>
      <c r="AP439" s="10">
        <f t="shared" si="423"/>
        <v>0</v>
      </c>
      <c r="AQ439" s="10">
        <f t="shared" si="424"/>
        <v>0</v>
      </c>
      <c r="AR439" s="10">
        <f t="shared" si="425"/>
        <v>0</v>
      </c>
      <c r="AS439" s="10">
        <f t="shared" si="426"/>
        <v>0</v>
      </c>
      <c r="AT439" s="10">
        <f t="shared" si="427"/>
        <v>0</v>
      </c>
      <c r="AU439" s="10">
        <f t="shared" si="428"/>
        <v>0</v>
      </c>
      <c r="AV439" s="10">
        <f t="shared" si="429"/>
        <v>0</v>
      </c>
      <c r="AW439" s="10">
        <f t="shared" si="430"/>
        <v>0</v>
      </c>
      <c r="AX439" s="10">
        <f t="shared" si="431"/>
        <v>0</v>
      </c>
    </row>
    <row r="440" spans="1:50" x14ac:dyDescent="0.2">
      <c r="A440" s="8">
        <v>14400</v>
      </c>
      <c r="B440" s="89" t="str">
        <f t="shared" si="383"/>
        <v>Kiama</v>
      </c>
      <c r="C440" s="9" t="str">
        <f t="shared" si="384"/>
        <v>ISJO</v>
      </c>
      <c r="D440" s="51" t="str">
        <f t="shared" si="385"/>
        <v>E</v>
      </c>
      <c r="E440" s="10" t="str">
        <f t="shared" si="386"/>
        <v>ISJO</v>
      </c>
      <c r="F440" s="10">
        <f t="shared" si="387"/>
        <v>23685</v>
      </c>
      <c r="G440" s="10">
        <f t="shared" si="388"/>
        <v>12389</v>
      </c>
      <c r="H440" s="10">
        <f t="shared" si="389"/>
        <v>1.9117765759948342</v>
      </c>
      <c r="I440" s="10">
        <f t="shared" si="390"/>
        <v>257.7</v>
      </c>
      <c r="J440" s="10">
        <f t="shared" si="391"/>
        <v>91.9</v>
      </c>
      <c r="K440" s="10">
        <f t="shared" si="392"/>
        <v>601.91</v>
      </c>
      <c r="L440" s="10" t="str">
        <f t="shared" si="393"/>
        <v>Y</v>
      </c>
      <c r="M440" s="10">
        <f t="shared" si="394"/>
        <v>10149</v>
      </c>
      <c r="N440" s="10">
        <f t="shared" si="395"/>
        <v>9600</v>
      </c>
      <c r="O440" s="10">
        <f t="shared" si="396"/>
        <v>0</v>
      </c>
      <c r="P440" s="10">
        <f t="shared" si="397"/>
        <v>9622</v>
      </c>
      <c r="Q440" s="10">
        <f t="shared" si="398"/>
        <v>12389</v>
      </c>
      <c r="R440" s="10" t="str">
        <f t="shared" si="399"/>
        <v>Yes</v>
      </c>
      <c r="S440" s="10" t="str">
        <f t="shared" si="400"/>
        <v>Minnamurra Waste disposal Depot</v>
      </c>
      <c r="T440" s="10">
        <f t="shared" si="401"/>
        <v>0</v>
      </c>
      <c r="U440" s="10">
        <f t="shared" si="402"/>
        <v>0</v>
      </c>
      <c r="V440" s="10">
        <f t="shared" si="403"/>
        <v>0</v>
      </c>
      <c r="W440" s="10">
        <f t="shared" si="404"/>
        <v>0</v>
      </c>
      <c r="X440" s="10">
        <f t="shared" si="405"/>
        <v>0</v>
      </c>
      <c r="Y440" s="10">
        <f t="shared" si="406"/>
        <v>0</v>
      </c>
      <c r="Z440" s="10">
        <f t="shared" si="407"/>
        <v>0</v>
      </c>
      <c r="AA440" s="10">
        <f t="shared" si="408"/>
        <v>0</v>
      </c>
      <c r="AB440" s="10">
        <f t="shared" si="409"/>
        <v>0</v>
      </c>
      <c r="AC440" s="10">
        <f t="shared" si="410"/>
        <v>0</v>
      </c>
      <c r="AD440" s="10">
        <f t="shared" si="411"/>
        <v>0</v>
      </c>
      <c r="AE440" s="10">
        <f t="shared" si="412"/>
        <v>0</v>
      </c>
      <c r="AF440" s="10">
        <f t="shared" si="413"/>
        <v>0</v>
      </c>
      <c r="AG440" s="10">
        <f t="shared" si="414"/>
        <v>0</v>
      </c>
      <c r="AH440" s="10">
        <f t="shared" si="415"/>
        <v>0</v>
      </c>
      <c r="AI440" s="10">
        <f t="shared" si="416"/>
        <v>0</v>
      </c>
      <c r="AJ440" s="10">
        <f t="shared" si="417"/>
        <v>0</v>
      </c>
      <c r="AK440" s="10">
        <f t="shared" si="418"/>
        <v>0</v>
      </c>
      <c r="AL440" s="10">
        <f t="shared" si="419"/>
        <v>0</v>
      </c>
      <c r="AM440" s="10">
        <f t="shared" si="420"/>
        <v>0</v>
      </c>
      <c r="AN440" s="46">
        <f t="shared" si="421"/>
        <v>0</v>
      </c>
      <c r="AO440" s="10">
        <f t="shared" si="422"/>
        <v>0</v>
      </c>
      <c r="AP440" s="10">
        <f t="shared" si="423"/>
        <v>0</v>
      </c>
      <c r="AQ440" s="10">
        <f t="shared" si="424"/>
        <v>0</v>
      </c>
      <c r="AR440" s="10">
        <f t="shared" si="425"/>
        <v>0</v>
      </c>
      <c r="AS440" s="10">
        <f t="shared" si="426"/>
        <v>0</v>
      </c>
      <c r="AT440" s="10">
        <f t="shared" si="427"/>
        <v>0</v>
      </c>
      <c r="AU440" s="10">
        <f t="shared" si="428"/>
        <v>0</v>
      </c>
      <c r="AV440" s="10">
        <f t="shared" si="429"/>
        <v>0</v>
      </c>
      <c r="AW440" s="10">
        <f t="shared" si="430"/>
        <v>0</v>
      </c>
      <c r="AX440" s="10">
        <f t="shared" si="431"/>
        <v>0</v>
      </c>
    </row>
    <row r="441" spans="1:50" x14ac:dyDescent="0.2">
      <c r="A441" s="8">
        <v>14650</v>
      </c>
      <c r="B441" s="89" t="str">
        <f t="shared" si="383"/>
        <v>Lake Macquarie</v>
      </c>
      <c r="C441" s="9" t="str">
        <f t="shared" si="384"/>
        <v>Hunter</v>
      </c>
      <c r="D441" s="51" t="str">
        <f t="shared" si="385"/>
        <v>E</v>
      </c>
      <c r="E441" s="10" t="str">
        <f t="shared" si="386"/>
        <v>HJO</v>
      </c>
      <c r="F441" s="10">
        <f t="shared" si="387"/>
        <v>207775</v>
      </c>
      <c r="G441" s="10">
        <f t="shared" si="388"/>
        <v>87115</v>
      </c>
      <c r="H441" s="10">
        <f t="shared" si="389"/>
        <v>2.3850657177294381</v>
      </c>
      <c r="I441" s="10">
        <f t="shared" si="390"/>
        <v>648.6</v>
      </c>
      <c r="J441" s="10">
        <f t="shared" si="391"/>
        <v>320.3</v>
      </c>
      <c r="K441" s="10">
        <f t="shared" si="392"/>
        <v>451</v>
      </c>
      <c r="L441" s="10" t="str">
        <f t="shared" si="393"/>
        <v>Y</v>
      </c>
      <c r="M441" s="10">
        <f t="shared" si="394"/>
        <v>84915</v>
      </c>
      <c r="N441" s="10">
        <f t="shared" si="395"/>
        <v>83059</v>
      </c>
      <c r="O441" s="10">
        <f t="shared" si="396"/>
        <v>0</v>
      </c>
      <c r="P441" s="10">
        <f t="shared" si="397"/>
        <v>84741</v>
      </c>
      <c r="Q441" s="10">
        <f t="shared" si="398"/>
        <v>87115</v>
      </c>
      <c r="R441" s="10" t="str">
        <f t="shared" si="399"/>
        <v>Yes</v>
      </c>
      <c r="S441" s="10" t="str">
        <f t="shared" si="400"/>
        <v xml:space="preserve">Awaba Waste Management Facility </v>
      </c>
      <c r="T441" s="10">
        <f t="shared" si="401"/>
        <v>0</v>
      </c>
      <c r="U441" s="10">
        <f t="shared" si="402"/>
        <v>0</v>
      </c>
      <c r="V441" s="10">
        <f t="shared" si="403"/>
        <v>0</v>
      </c>
      <c r="W441" s="10">
        <f t="shared" si="404"/>
        <v>0</v>
      </c>
      <c r="X441" s="10">
        <f t="shared" si="405"/>
        <v>0</v>
      </c>
      <c r="Y441" s="10">
        <f t="shared" si="406"/>
        <v>0</v>
      </c>
      <c r="Z441" s="10">
        <f t="shared" si="407"/>
        <v>0</v>
      </c>
      <c r="AA441" s="10">
        <f t="shared" si="408"/>
        <v>0</v>
      </c>
      <c r="AB441" s="10">
        <f t="shared" si="409"/>
        <v>0</v>
      </c>
      <c r="AC441" s="10">
        <f t="shared" si="410"/>
        <v>0</v>
      </c>
      <c r="AD441" s="10">
        <f t="shared" si="411"/>
        <v>0</v>
      </c>
      <c r="AE441" s="10">
        <f t="shared" si="412"/>
        <v>0</v>
      </c>
      <c r="AF441" s="10">
        <f t="shared" si="413"/>
        <v>0</v>
      </c>
      <c r="AG441" s="10">
        <f t="shared" si="414"/>
        <v>0</v>
      </c>
      <c r="AH441" s="10">
        <f t="shared" si="415"/>
        <v>0</v>
      </c>
      <c r="AI441" s="10">
        <f t="shared" si="416"/>
        <v>0</v>
      </c>
      <c r="AJ441" s="10">
        <f t="shared" si="417"/>
        <v>0</v>
      </c>
      <c r="AK441" s="10">
        <f t="shared" si="418"/>
        <v>0</v>
      </c>
      <c r="AL441" s="10">
        <f t="shared" si="419"/>
        <v>0</v>
      </c>
      <c r="AM441" s="10">
        <f t="shared" si="420"/>
        <v>0</v>
      </c>
      <c r="AN441" s="46">
        <f t="shared" si="421"/>
        <v>0</v>
      </c>
      <c r="AO441" s="10">
        <f t="shared" si="422"/>
        <v>0</v>
      </c>
      <c r="AP441" s="10">
        <f t="shared" si="423"/>
        <v>0</v>
      </c>
      <c r="AQ441" s="10">
        <f t="shared" si="424"/>
        <v>0</v>
      </c>
      <c r="AR441" s="10">
        <f t="shared" si="425"/>
        <v>0</v>
      </c>
      <c r="AS441" s="10">
        <f t="shared" si="426"/>
        <v>0</v>
      </c>
      <c r="AT441" s="10">
        <f t="shared" si="427"/>
        <v>0</v>
      </c>
      <c r="AU441" s="10">
        <f t="shared" si="428"/>
        <v>0</v>
      </c>
      <c r="AV441" s="10">
        <f t="shared" si="429"/>
        <v>0</v>
      </c>
      <c r="AW441" s="10">
        <f t="shared" si="430"/>
        <v>0</v>
      </c>
      <c r="AX441" s="10">
        <f t="shared" si="431"/>
        <v>0</v>
      </c>
    </row>
    <row r="442" spans="1:50" x14ac:dyDescent="0.2">
      <c r="A442" s="8">
        <v>15050</v>
      </c>
      <c r="B442" s="89" t="str">
        <f t="shared" si="383"/>
        <v>Maitland</v>
      </c>
      <c r="C442" s="9" t="str">
        <f t="shared" si="384"/>
        <v>Hunter</v>
      </c>
      <c r="D442" s="51" t="str">
        <f t="shared" si="385"/>
        <v>E</v>
      </c>
      <c r="E442" s="10" t="str">
        <f t="shared" si="386"/>
        <v>HJO</v>
      </c>
      <c r="F442" s="10">
        <f t="shared" si="387"/>
        <v>87395</v>
      </c>
      <c r="G442" s="10">
        <f t="shared" si="388"/>
        <v>35810</v>
      </c>
      <c r="H442" s="10">
        <f t="shared" si="389"/>
        <v>2.4405194079865957</v>
      </c>
      <c r="I442" s="10">
        <f t="shared" si="390"/>
        <v>391.5</v>
      </c>
      <c r="J442" s="10">
        <f t="shared" si="391"/>
        <v>223.2</v>
      </c>
      <c r="K442" s="10">
        <f t="shared" si="392"/>
        <v>525.35</v>
      </c>
      <c r="L442" s="10" t="str">
        <f t="shared" si="393"/>
        <v>Y</v>
      </c>
      <c r="M442" s="10">
        <f t="shared" si="394"/>
        <v>32906</v>
      </c>
      <c r="N442" s="10">
        <f t="shared" si="395"/>
        <v>32906</v>
      </c>
      <c r="O442" s="10">
        <f t="shared" si="396"/>
        <v>32906</v>
      </c>
      <c r="P442" s="10">
        <f t="shared" si="397"/>
        <v>0</v>
      </c>
      <c r="Q442" s="10">
        <f t="shared" si="398"/>
        <v>35810</v>
      </c>
      <c r="R442" s="10" t="str">
        <f t="shared" si="399"/>
        <v>Yes</v>
      </c>
      <c r="S442" s="10" t="str">
        <f t="shared" si="400"/>
        <v>Mt Vincent Rd Waste Management Centre, 109 Mt Vincent Rd, East Maitland</v>
      </c>
      <c r="T442" s="10">
        <f t="shared" si="401"/>
        <v>0</v>
      </c>
      <c r="U442" s="10">
        <f t="shared" si="402"/>
        <v>0</v>
      </c>
      <c r="V442" s="10">
        <f t="shared" si="403"/>
        <v>0</v>
      </c>
      <c r="W442" s="10">
        <f t="shared" si="404"/>
        <v>0</v>
      </c>
      <c r="X442" s="10">
        <f t="shared" si="405"/>
        <v>0</v>
      </c>
      <c r="Y442" s="10">
        <f t="shared" si="406"/>
        <v>0</v>
      </c>
      <c r="Z442" s="10">
        <f t="shared" si="407"/>
        <v>0</v>
      </c>
      <c r="AA442" s="10">
        <f t="shared" si="408"/>
        <v>0</v>
      </c>
      <c r="AB442" s="10">
        <f t="shared" si="409"/>
        <v>0</v>
      </c>
      <c r="AC442" s="10">
        <f t="shared" si="410"/>
        <v>0</v>
      </c>
      <c r="AD442" s="10">
        <f t="shared" si="411"/>
        <v>0</v>
      </c>
      <c r="AE442" s="10">
        <f t="shared" si="412"/>
        <v>0</v>
      </c>
      <c r="AF442" s="10">
        <f t="shared" si="413"/>
        <v>0</v>
      </c>
      <c r="AG442" s="10">
        <f t="shared" si="414"/>
        <v>0</v>
      </c>
      <c r="AH442" s="10">
        <f t="shared" si="415"/>
        <v>0</v>
      </c>
      <c r="AI442" s="10">
        <f t="shared" si="416"/>
        <v>0</v>
      </c>
      <c r="AJ442" s="10">
        <f t="shared" si="417"/>
        <v>0</v>
      </c>
      <c r="AK442" s="10">
        <f t="shared" si="418"/>
        <v>0</v>
      </c>
      <c r="AL442" s="10">
        <f t="shared" si="419"/>
        <v>0</v>
      </c>
      <c r="AM442" s="10">
        <f t="shared" si="420"/>
        <v>0</v>
      </c>
      <c r="AN442" s="46">
        <f t="shared" si="421"/>
        <v>0</v>
      </c>
      <c r="AO442" s="10">
        <f t="shared" si="422"/>
        <v>0</v>
      </c>
      <c r="AP442" s="10">
        <f t="shared" si="423"/>
        <v>0</v>
      </c>
      <c r="AQ442" s="10">
        <f t="shared" si="424"/>
        <v>0</v>
      </c>
      <c r="AR442" s="10">
        <f t="shared" si="425"/>
        <v>0</v>
      </c>
      <c r="AS442" s="10">
        <f t="shared" si="426"/>
        <v>0</v>
      </c>
      <c r="AT442" s="10">
        <f t="shared" si="427"/>
        <v>0</v>
      </c>
      <c r="AU442" s="10">
        <f t="shared" si="428"/>
        <v>0</v>
      </c>
      <c r="AV442" s="10">
        <f t="shared" si="429"/>
        <v>0</v>
      </c>
      <c r="AW442" s="10">
        <f t="shared" si="430"/>
        <v>0</v>
      </c>
      <c r="AX442" s="10">
        <f t="shared" si="431"/>
        <v>0</v>
      </c>
    </row>
    <row r="443" spans="1:50" x14ac:dyDescent="0.2">
      <c r="A443" s="8">
        <v>15900</v>
      </c>
      <c r="B443" s="89" t="str">
        <f t="shared" si="383"/>
        <v>Newcastle</v>
      </c>
      <c r="C443" s="9" t="str">
        <f t="shared" si="384"/>
        <v>Hunter</v>
      </c>
      <c r="D443" s="51" t="str">
        <f t="shared" si="385"/>
        <v>E</v>
      </c>
      <c r="E443" s="10" t="str">
        <f t="shared" si="386"/>
        <v>HJO</v>
      </c>
      <c r="F443" s="10">
        <f t="shared" si="387"/>
        <v>167363</v>
      </c>
      <c r="G443" s="10">
        <f t="shared" si="388"/>
        <v>72935</v>
      </c>
      <c r="H443" s="10">
        <f t="shared" si="389"/>
        <v>2.2946870501131142</v>
      </c>
      <c r="I443" s="10">
        <f t="shared" si="390"/>
        <v>186.8</v>
      </c>
      <c r="J443" s="10">
        <f t="shared" si="391"/>
        <v>896.2</v>
      </c>
      <c r="K443" s="10">
        <f t="shared" si="392"/>
        <v>374.52</v>
      </c>
      <c r="L443" s="10" t="str">
        <f t="shared" si="393"/>
        <v>Y</v>
      </c>
      <c r="M443" s="10">
        <f t="shared" si="394"/>
        <v>51728</v>
      </c>
      <c r="N443" s="10">
        <f t="shared" si="395"/>
        <v>52056</v>
      </c>
      <c r="O443" s="10">
        <f t="shared" si="396"/>
        <v>52523</v>
      </c>
      <c r="P443" s="10">
        <f t="shared" si="397"/>
        <v>0</v>
      </c>
      <c r="Q443" s="10">
        <f t="shared" si="398"/>
        <v>72935</v>
      </c>
      <c r="R443" s="10" t="str">
        <f t="shared" si="399"/>
        <v>Yes</v>
      </c>
      <c r="S443" s="10" t="str">
        <f t="shared" si="400"/>
        <v>Summerhill Waste Management Centre, 141 Minmi Road, Wallsend</v>
      </c>
      <c r="T443" s="10">
        <f t="shared" si="401"/>
        <v>0</v>
      </c>
      <c r="U443" s="10">
        <f t="shared" si="402"/>
        <v>0</v>
      </c>
      <c r="V443" s="10">
        <f t="shared" si="403"/>
        <v>0</v>
      </c>
      <c r="W443" s="10">
        <f t="shared" si="404"/>
        <v>0</v>
      </c>
      <c r="X443" s="10">
        <f t="shared" si="405"/>
        <v>0</v>
      </c>
      <c r="Y443" s="10">
        <f t="shared" si="406"/>
        <v>0</v>
      </c>
      <c r="Z443" s="10">
        <f t="shared" si="407"/>
        <v>0</v>
      </c>
      <c r="AA443" s="10">
        <f t="shared" si="408"/>
        <v>0</v>
      </c>
      <c r="AB443" s="10">
        <f t="shared" si="409"/>
        <v>0</v>
      </c>
      <c r="AC443" s="10">
        <f t="shared" si="410"/>
        <v>0</v>
      </c>
      <c r="AD443" s="10">
        <f t="shared" si="411"/>
        <v>0</v>
      </c>
      <c r="AE443" s="10">
        <f t="shared" si="412"/>
        <v>0</v>
      </c>
      <c r="AF443" s="10">
        <f t="shared" si="413"/>
        <v>0</v>
      </c>
      <c r="AG443" s="10">
        <f t="shared" si="414"/>
        <v>0</v>
      </c>
      <c r="AH443" s="10">
        <f t="shared" si="415"/>
        <v>0</v>
      </c>
      <c r="AI443" s="10">
        <f t="shared" si="416"/>
        <v>0</v>
      </c>
      <c r="AJ443" s="10">
        <f t="shared" si="417"/>
        <v>0</v>
      </c>
      <c r="AK443" s="10">
        <f t="shared" si="418"/>
        <v>0</v>
      </c>
      <c r="AL443" s="10">
        <f t="shared" si="419"/>
        <v>0</v>
      </c>
      <c r="AM443" s="10">
        <f t="shared" si="420"/>
        <v>0</v>
      </c>
      <c r="AN443" s="46">
        <f t="shared" si="421"/>
        <v>0</v>
      </c>
      <c r="AO443" s="10">
        <f t="shared" si="422"/>
        <v>0</v>
      </c>
      <c r="AP443" s="10">
        <f t="shared" si="423"/>
        <v>0</v>
      </c>
      <c r="AQ443" s="10">
        <f t="shared" si="424"/>
        <v>0</v>
      </c>
      <c r="AR443" s="10">
        <f t="shared" si="425"/>
        <v>0</v>
      </c>
      <c r="AS443" s="10">
        <f t="shared" si="426"/>
        <v>0</v>
      </c>
      <c r="AT443" s="10">
        <f t="shared" si="427"/>
        <v>0</v>
      </c>
      <c r="AU443" s="10">
        <f t="shared" si="428"/>
        <v>0</v>
      </c>
      <c r="AV443" s="10">
        <f t="shared" si="429"/>
        <v>0</v>
      </c>
      <c r="AW443" s="10">
        <f t="shared" si="430"/>
        <v>0</v>
      </c>
      <c r="AX443" s="10">
        <f t="shared" si="431"/>
        <v>0</v>
      </c>
    </row>
    <row r="444" spans="1:50" x14ac:dyDescent="0.2">
      <c r="A444" s="8">
        <v>16400</v>
      </c>
      <c r="B444" s="89" t="str">
        <f t="shared" si="383"/>
        <v>Port Stephens</v>
      </c>
      <c r="C444" s="9" t="str">
        <f t="shared" si="384"/>
        <v>Hunter</v>
      </c>
      <c r="D444" s="51" t="str">
        <f t="shared" si="385"/>
        <v>E</v>
      </c>
      <c r="E444" s="10" t="str">
        <f t="shared" si="386"/>
        <v>HJO</v>
      </c>
      <c r="F444" s="10">
        <f t="shared" si="387"/>
        <v>74506</v>
      </c>
      <c r="G444" s="10">
        <f t="shared" si="388"/>
        <v>36766</v>
      </c>
      <c r="H444" s="10">
        <f t="shared" si="389"/>
        <v>2.0264918674862646</v>
      </c>
      <c r="I444" s="10">
        <f t="shared" si="390"/>
        <v>858.4</v>
      </c>
      <c r="J444" s="10">
        <f t="shared" si="391"/>
        <v>86.8</v>
      </c>
      <c r="K444" s="10">
        <f t="shared" si="392"/>
        <v>452</v>
      </c>
      <c r="L444" s="10" t="str">
        <f t="shared" si="393"/>
        <v>Y</v>
      </c>
      <c r="M444" s="10">
        <f t="shared" si="394"/>
        <v>27499</v>
      </c>
      <c r="N444" s="10">
        <f t="shared" si="395"/>
        <v>25566</v>
      </c>
      <c r="O444" s="10">
        <f t="shared" si="396"/>
        <v>0</v>
      </c>
      <c r="P444" s="10">
        <f t="shared" si="397"/>
        <v>0</v>
      </c>
      <c r="Q444" s="10">
        <f t="shared" si="398"/>
        <v>36766</v>
      </c>
      <c r="R444" s="10" t="str">
        <f t="shared" si="399"/>
        <v>Yes</v>
      </c>
      <c r="S444" s="10" t="str">
        <f t="shared" si="400"/>
        <v>Salamander Bay Waste Transfer Station</v>
      </c>
      <c r="T444" s="10">
        <f t="shared" si="401"/>
        <v>0</v>
      </c>
      <c r="U444" s="10">
        <f t="shared" si="402"/>
        <v>0</v>
      </c>
      <c r="V444" s="10">
        <f t="shared" si="403"/>
        <v>0</v>
      </c>
      <c r="W444" s="10">
        <f t="shared" si="404"/>
        <v>0</v>
      </c>
      <c r="X444" s="10">
        <f t="shared" si="405"/>
        <v>0</v>
      </c>
      <c r="Y444" s="10">
        <f t="shared" si="406"/>
        <v>0</v>
      </c>
      <c r="Z444" s="10">
        <f t="shared" si="407"/>
        <v>0</v>
      </c>
      <c r="AA444" s="10">
        <f t="shared" si="408"/>
        <v>0</v>
      </c>
      <c r="AB444" s="10">
        <f t="shared" si="409"/>
        <v>0</v>
      </c>
      <c r="AC444" s="10">
        <f t="shared" si="410"/>
        <v>0</v>
      </c>
      <c r="AD444" s="10">
        <f t="shared" si="411"/>
        <v>0</v>
      </c>
      <c r="AE444" s="10">
        <f t="shared" si="412"/>
        <v>0</v>
      </c>
      <c r="AF444" s="10">
        <f t="shared" si="413"/>
        <v>0</v>
      </c>
      <c r="AG444" s="10">
        <f t="shared" si="414"/>
        <v>0</v>
      </c>
      <c r="AH444" s="10">
        <f t="shared" si="415"/>
        <v>0</v>
      </c>
      <c r="AI444" s="10">
        <f t="shared" si="416"/>
        <v>0</v>
      </c>
      <c r="AJ444" s="10">
        <f t="shared" si="417"/>
        <v>0</v>
      </c>
      <c r="AK444" s="10">
        <f t="shared" si="418"/>
        <v>0</v>
      </c>
      <c r="AL444" s="10">
        <f t="shared" si="419"/>
        <v>0</v>
      </c>
      <c r="AM444" s="10">
        <f t="shared" si="420"/>
        <v>0</v>
      </c>
      <c r="AN444" s="46">
        <f t="shared" si="421"/>
        <v>0</v>
      </c>
      <c r="AO444" s="10">
        <f t="shared" si="422"/>
        <v>0</v>
      </c>
      <c r="AP444" s="10">
        <f t="shared" si="423"/>
        <v>0</v>
      </c>
      <c r="AQ444" s="10">
        <f t="shared" si="424"/>
        <v>0</v>
      </c>
      <c r="AR444" s="10">
        <f t="shared" si="425"/>
        <v>0</v>
      </c>
      <c r="AS444" s="10">
        <f t="shared" si="426"/>
        <v>0</v>
      </c>
      <c r="AT444" s="10">
        <f t="shared" si="427"/>
        <v>0</v>
      </c>
      <c r="AU444" s="10">
        <f t="shared" si="428"/>
        <v>0</v>
      </c>
      <c r="AV444" s="10">
        <f t="shared" si="429"/>
        <v>0</v>
      </c>
      <c r="AW444" s="10">
        <f t="shared" si="430"/>
        <v>0</v>
      </c>
      <c r="AX444" s="10">
        <f t="shared" si="431"/>
        <v>0</v>
      </c>
    </row>
    <row r="445" spans="1:50" x14ac:dyDescent="0.2">
      <c r="A445" s="8">
        <v>16900</v>
      </c>
      <c r="B445" s="89" t="str">
        <f t="shared" si="383"/>
        <v>Shellharbour</v>
      </c>
      <c r="C445" s="9" t="str">
        <f t="shared" si="384"/>
        <v>ISJO</v>
      </c>
      <c r="D445" s="51" t="str">
        <f t="shared" si="385"/>
        <v>E</v>
      </c>
      <c r="E445" s="10" t="str">
        <f t="shared" si="386"/>
        <v>ISJO</v>
      </c>
      <c r="F445" s="10">
        <f t="shared" si="387"/>
        <v>74622</v>
      </c>
      <c r="G445" s="10">
        <f t="shared" si="388"/>
        <v>29784</v>
      </c>
      <c r="H445" s="10">
        <f t="shared" si="389"/>
        <v>2.5054391619661565</v>
      </c>
      <c r="I445" s="10">
        <f t="shared" si="390"/>
        <v>147.4</v>
      </c>
      <c r="J445" s="10">
        <f t="shared" si="391"/>
        <v>506.2</v>
      </c>
      <c r="K445" s="10">
        <f t="shared" si="392"/>
        <v>570</v>
      </c>
      <c r="L445" s="10" t="str">
        <f t="shared" si="393"/>
        <v>Y</v>
      </c>
      <c r="M445" s="10">
        <f t="shared" si="394"/>
        <v>28391</v>
      </c>
      <c r="N445" s="10">
        <f t="shared" si="395"/>
        <v>28621</v>
      </c>
      <c r="O445" s="10">
        <f t="shared" si="396"/>
        <v>0</v>
      </c>
      <c r="P445" s="10">
        <f t="shared" si="397"/>
        <v>28621</v>
      </c>
      <c r="Q445" s="10">
        <f t="shared" si="398"/>
        <v>29784</v>
      </c>
      <c r="R445" s="10" t="str">
        <f t="shared" si="399"/>
        <v>Yes</v>
      </c>
      <c r="S445" s="10" t="str">
        <f t="shared" si="400"/>
        <v>Dunmore Recycling and Waste Disposal Depot, 44 Buckleys Road, Dunmore</v>
      </c>
      <c r="T445" s="10">
        <f t="shared" si="401"/>
        <v>0</v>
      </c>
      <c r="U445" s="10">
        <f t="shared" si="402"/>
        <v>0</v>
      </c>
      <c r="V445" s="10">
        <f t="shared" si="403"/>
        <v>0</v>
      </c>
      <c r="W445" s="10">
        <f t="shared" si="404"/>
        <v>0</v>
      </c>
      <c r="X445" s="10">
        <f t="shared" si="405"/>
        <v>0</v>
      </c>
      <c r="Y445" s="10">
        <f t="shared" si="406"/>
        <v>0</v>
      </c>
      <c r="Z445" s="10">
        <f t="shared" si="407"/>
        <v>0</v>
      </c>
      <c r="AA445" s="10">
        <f t="shared" si="408"/>
        <v>0</v>
      </c>
      <c r="AB445" s="10">
        <f t="shared" si="409"/>
        <v>0</v>
      </c>
      <c r="AC445" s="10">
        <f t="shared" si="410"/>
        <v>0</v>
      </c>
      <c r="AD445" s="10">
        <f t="shared" si="411"/>
        <v>0</v>
      </c>
      <c r="AE445" s="10">
        <f t="shared" si="412"/>
        <v>0</v>
      </c>
      <c r="AF445" s="10">
        <f t="shared" si="413"/>
        <v>0</v>
      </c>
      <c r="AG445" s="10">
        <f t="shared" si="414"/>
        <v>0</v>
      </c>
      <c r="AH445" s="10">
        <f t="shared" si="415"/>
        <v>0</v>
      </c>
      <c r="AI445" s="10">
        <f t="shared" si="416"/>
        <v>0</v>
      </c>
      <c r="AJ445" s="10">
        <f t="shared" si="417"/>
        <v>0</v>
      </c>
      <c r="AK445" s="10">
        <f t="shared" si="418"/>
        <v>0</v>
      </c>
      <c r="AL445" s="10">
        <f t="shared" si="419"/>
        <v>0</v>
      </c>
      <c r="AM445" s="10">
        <f t="shared" si="420"/>
        <v>0</v>
      </c>
      <c r="AN445" s="46">
        <f t="shared" si="421"/>
        <v>0</v>
      </c>
      <c r="AO445" s="10">
        <f t="shared" si="422"/>
        <v>0</v>
      </c>
      <c r="AP445" s="10">
        <f t="shared" si="423"/>
        <v>0</v>
      </c>
      <c r="AQ445" s="10">
        <f t="shared" si="424"/>
        <v>0</v>
      </c>
      <c r="AR445" s="10">
        <f t="shared" si="425"/>
        <v>0</v>
      </c>
      <c r="AS445" s="10">
        <f t="shared" si="426"/>
        <v>0</v>
      </c>
      <c r="AT445" s="10">
        <f t="shared" si="427"/>
        <v>0</v>
      </c>
      <c r="AU445" s="10">
        <f t="shared" si="428"/>
        <v>0</v>
      </c>
      <c r="AV445" s="10">
        <f t="shared" si="429"/>
        <v>0</v>
      </c>
      <c r="AW445" s="10">
        <f t="shared" si="430"/>
        <v>0</v>
      </c>
      <c r="AX445" s="10">
        <f t="shared" si="431"/>
        <v>0</v>
      </c>
    </row>
    <row r="446" spans="1:50" x14ac:dyDescent="0.2">
      <c r="A446" s="8">
        <v>16950</v>
      </c>
      <c r="B446" s="89" t="str">
        <f t="shared" si="383"/>
        <v>Shoalhaven</v>
      </c>
      <c r="C446" s="9" t="str">
        <f t="shared" si="384"/>
        <v>ISJO</v>
      </c>
      <c r="D446" s="51" t="str">
        <f t="shared" si="385"/>
        <v>E</v>
      </c>
      <c r="E446" s="10" t="str">
        <f t="shared" si="386"/>
        <v>ISJO</v>
      </c>
      <c r="F446" s="10">
        <f t="shared" si="387"/>
        <v>107191</v>
      </c>
      <c r="G446" s="10">
        <f t="shared" si="388"/>
        <v>57387</v>
      </c>
      <c r="H446" s="10">
        <f t="shared" si="389"/>
        <v>1.867862059351421</v>
      </c>
      <c r="I446" s="10">
        <f t="shared" si="390"/>
        <v>4566.7</v>
      </c>
      <c r="J446" s="10">
        <f t="shared" si="391"/>
        <v>23.5</v>
      </c>
      <c r="K446" s="10">
        <f t="shared" si="392"/>
        <v>385</v>
      </c>
      <c r="L446" s="10" t="str">
        <f t="shared" si="393"/>
        <v>Y</v>
      </c>
      <c r="M446" s="10">
        <f t="shared" si="394"/>
        <v>51636</v>
      </c>
      <c r="N446" s="10">
        <f t="shared" si="395"/>
        <v>52912</v>
      </c>
      <c r="O446" s="10">
        <f t="shared" si="396"/>
        <v>0</v>
      </c>
      <c r="P446" s="10">
        <f t="shared" si="397"/>
        <v>0</v>
      </c>
      <c r="Q446" s="10">
        <f t="shared" si="398"/>
        <v>57387</v>
      </c>
      <c r="R446" s="10" t="str">
        <f t="shared" si="399"/>
        <v>Yes</v>
      </c>
      <c r="S446" s="10" t="str">
        <f t="shared" si="400"/>
        <v>West Nowra, 120 Flatrock Rd Mundamia</v>
      </c>
      <c r="T446" s="10" t="str">
        <f t="shared" si="401"/>
        <v>Ulladulla, 94 Pirralea Rd Ulladulla</v>
      </c>
      <c r="U446" s="10" t="str">
        <f t="shared" si="402"/>
        <v>Huskisson, 235 Huskisson Rd Huskisson</v>
      </c>
      <c r="V446" s="10" t="str">
        <f t="shared" si="403"/>
        <v>Berry, 175 Agars Lane Berry</v>
      </c>
      <c r="W446" s="10" t="str">
        <f t="shared" si="404"/>
        <v>Callala, 270 Coonemia Rd Callala</v>
      </c>
      <c r="X446" s="10" t="str">
        <f t="shared" si="405"/>
        <v>Sussex Inlet, 40 The Springs Rd Sussex Inlet</v>
      </c>
      <c r="Y446" s="10" t="str">
        <f t="shared" si="406"/>
        <v>Kioloa, 374 Murramarang Rd Kioloa</v>
      </c>
      <c r="Z446" s="10">
        <f t="shared" si="407"/>
        <v>0</v>
      </c>
      <c r="AA446" s="10">
        <f t="shared" si="408"/>
        <v>0</v>
      </c>
      <c r="AB446" s="10">
        <f t="shared" si="409"/>
        <v>0</v>
      </c>
      <c r="AC446" s="10">
        <f t="shared" si="410"/>
        <v>0</v>
      </c>
      <c r="AD446" s="10">
        <f t="shared" si="411"/>
        <v>0</v>
      </c>
      <c r="AE446" s="10">
        <f t="shared" si="412"/>
        <v>0</v>
      </c>
      <c r="AF446" s="10">
        <f t="shared" si="413"/>
        <v>0</v>
      </c>
      <c r="AG446" s="10">
        <f t="shared" si="414"/>
        <v>0</v>
      </c>
      <c r="AH446" s="10">
        <f t="shared" si="415"/>
        <v>0</v>
      </c>
      <c r="AI446" s="10">
        <f t="shared" si="416"/>
        <v>0</v>
      </c>
      <c r="AJ446" s="10">
        <f t="shared" si="417"/>
        <v>0</v>
      </c>
      <c r="AK446" s="10">
        <f t="shared" si="418"/>
        <v>0</v>
      </c>
      <c r="AL446" s="10">
        <f t="shared" si="419"/>
        <v>0</v>
      </c>
      <c r="AM446" s="10">
        <f t="shared" si="420"/>
        <v>0</v>
      </c>
      <c r="AN446" s="46">
        <f t="shared" si="421"/>
        <v>0</v>
      </c>
      <c r="AO446" s="10">
        <f t="shared" si="422"/>
        <v>0</v>
      </c>
      <c r="AP446" s="10">
        <f t="shared" si="423"/>
        <v>0</v>
      </c>
      <c r="AQ446" s="10">
        <f t="shared" si="424"/>
        <v>0</v>
      </c>
      <c r="AR446" s="10">
        <f t="shared" si="425"/>
        <v>0</v>
      </c>
      <c r="AS446" s="10">
        <f t="shared" si="426"/>
        <v>0</v>
      </c>
      <c r="AT446" s="10">
        <f t="shared" si="427"/>
        <v>0</v>
      </c>
      <c r="AU446" s="10">
        <f t="shared" si="428"/>
        <v>0</v>
      </c>
      <c r="AV446" s="10">
        <f t="shared" si="429"/>
        <v>0</v>
      </c>
      <c r="AW446" s="10">
        <f t="shared" si="430"/>
        <v>0</v>
      </c>
      <c r="AX446" s="10">
        <f t="shared" si="431"/>
        <v>0</v>
      </c>
    </row>
    <row r="447" spans="1:50" x14ac:dyDescent="0.2">
      <c r="A447" s="8">
        <v>18350</v>
      </c>
      <c r="B447" s="89" t="str">
        <f t="shared" si="383"/>
        <v>Wingecarribee</v>
      </c>
      <c r="C447" s="9" t="str">
        <f t="shared" si="384"/>
        <v>CRJO</v>
      </c>
      <c r="D447" s="51" t="str">
        <f t="shared" si="385"/>
        <v>E</v>
      </c>
      <c r="E447" s="10" t="str">
        <f t="shared" si="386"/>
        <v>CRJO</v>
      </c>
      <c r="F447" s="10">
        <f t="shared" si="387"/>
        <v>51760</v>
      </c>
      <c r="G447" s="10">
        <f t="shared" si="388"/>
        <v>20791</v>
      </c>
      <c r="H447" s="10">
        <f t="shared" si="389"/>
        <v>2.4895387427252178</v>
      </c>
      <c r="I447" s="10">
        <f t="shared" si="390"/>
        <v>2689.3</v>
      </c>
      <c r="J447" s="10">
        <f t="shared" si="391"/>
        <v>19.2</v>
      </c>
      <c r="K447" s="10">
        <f t="shared" si="392"/>
        <v>422</v>
      </c>
      <c r="L447" s="10" t="str">
        <f t="shared" si="393"/>
        <v>Y</v>
      </c>
      <c r="M447" s="10">
        <f t="shared" si="394"/>
        <v>19475</v>
      </c>
      <c r="N447" s="10">
        <f t="shared" si="395"/>
        <v>19475</v>
      </c>
      <c r="O447" s="10">
        <f t="shared" si="396"/>
        <v>18417</v>
      </c>
      <c r="P447" s="10">
        <f t="shared" si="397"/>
        <v>0</v>
      </c>
      <c r="Q447" s="10">
        <f t="shared" si="398"/>
        <v>20791</v>
      </c>
      <c r="R447" s="10" t="str">
        <f t="shared" si="399"/>
        <v>Yes</v>
      </c>
      <c r="S447" s="10" t="str">
        <f t="shared" si="400"/>
        <v>Resource Recovery Centre, 177 Berrima Road MOSS VALE</v>
      </c>
      <c r="T447" s="10">
        <f t="shared" si="401"/>
        <v>0</v>
      </c>
      <c r="U447" s="10">
        <f t="shared" si="402"/>
        <v>0</v>
      </c>
      <c r="V447" s="10">
        <f t="shared" si="403"/>
        <v>0</v>
      </c>
      <c r="W447" s="10">
        <f t="shared" si="404"/>
        <v>0</v>
      </c>
      <c r="X447" s="10">
        <f t="shared" si="405"/>
        <v>0</v>
      </c>
      <c r="Y447" s="10">
        <f t="shared" si="406"/>
        <v>0</v>
      </c>
      <c r="Z447" s="10">
        <f t="shared" si="407"/>
        <v>0</v>
      </c>
      <c r="AA447" s="10">
        <f t="shared" si="408"/>
        <v>0</v>
      </c>
      <c r="AB447" s="10">
        <f t="shared" si="409"/>
        <v>0</v>
      </c>
      <c r="AC447" s="10">
        <f t="shared" si="410"/>
        <v>0</v>
      </c>
      <c r="AD447" s="10">
        <f t="shared" si="411"/>
        <v>0</v>
      </c>
      <c r="AE447" s="10">
        <f t="shared" si="412"/>
        <v>0</v>
      </c>
      <c r="AF447" s="10">
        <f t="shared" si="413"/>
        <v>0</v>
      </c>
      <c r="AG447" s="10">
        <f t="shared" si="414"/>
        <v>0</v>
      </c>
      <c r="AH447" s="10">
        <f t="shared" si="415"/>
        <v>0</v>
      </c>
      <c r="AI447" s="10">
        <f t="shared" si="416"/>
        <v>0</v>
      </c>
      <c r="AJ447" s="10">
        <f t="shared" si="417"/>
        <v>0</v>
      </c>
      <c r="AK447" s="10">
        <f t="shared" si="418"/>
        <v>0</v>
      </c>
      <c r="AL447" s="10">
        <f t="shared" si="419"/>
        <v>0</v>
      </c>
      <c r="AM447" s="10">
        <f t="shared" si="420"/>
        <v>0</v>
      </c>
      <c r="AN447" s="46">
        <f t="shared" si="421"/>
        <v>0</v>
      </c>
      <c r="AO447" s="10">
        <f t="shared" si="422"/>
        <v>0</v>
      </c>
      <c r="AP447" s="10">
        <f t="shared" si="423"/>
        <v>0</v>
      </c>
      <c r="AQ447" s="10">
        <f t="shared" si="424"/>
        <v>0</v>
      </c>
      <c r="AR447" s="10">
        <f t="shared" si="425"/>
        <v>0</v>
      </c>
      <c r="AS447" s="10">
        <f t="shared" si="426"/>
        <v>0</v>
      </c>
      <c r="AT447" s="10">
        <f t="shared" si="427"/>
        <v>0</v>
      </c>
      <c r="AU447" s="10">
        <f t="shared" si="428"/>
        <v>0</v>
      </c>
      <c r="AV447" s="10">
        <f t="shared" si="429"/>
        <v>0</v>
      </c>
      <c r="AW447" s="10">
        <f t="shared" si="430"/>
        <v>0</v>
      </c>
      <c r="AX447" s="10">
        <f t="shared" si="431"/>
        <v>0</v>
      </c>
    </row>
    <row r="448" spans="1:50" ht="13.5" thickBot="1" x14ac:dyDescent="0.25">
      <c r="A448" s="8">
        <v>18450</v>
      </c>
      <c r="B448" s="89" t="str">
        <f t="shared" si="383"/>
        <v>Wollongong</v>
      </c>
      <c r="C448" s="9" t="str">
        <f t="shared" si="384"/>
        <v>ISJO</v>
      </c>
      <c r="D448" s="51" t="str">
        <f t="shared" si="385"/>
        <v>E</v>
      </c>
      <c r="E448" s="10" t="str">
        <f t="shared" si="386"/>
        <v>ISJO</v>
      </c>
      <c r="F448" s="10">
        <f t="shared" si="387"/>
        <v>219798</v>
      </c>
      <c r="G448" s="10">
        <f t="shared" si="388"/>
        <v>90526</v>
      </c>
      <c r="H448" s="10">
        <f t="shared" si="389"/>
        <v>2.4280096325917415</v>
      </c>
      <c r="I448" s="10">
        <f t="shared" si="390"/>
        <v>684</v>
      </c>
      <c r="J448" s="10">
        <f t="shared" si="391"/>
        <v>321.3</v>
      </c>
      <c r="K448" s="10">
        <f t="shared" si="392"/>
        <v>411</v>
      </c>
      <c r="L448" s="10" t="str">
        <f t="shared" si="393"/>
        <v>Y</v>
      </c>
      <c r="M448" s="10">
        <f t="shared" si="394"/>
        <v>86047</v>
      </c>
      <c r="N448" s="10">
        <f t="shared" si="395"/>
        <v>86047</v>
      </c>
      <c r="O448" s="10">
        <f t="shared" si="396"/>
        <v>35214</v>
      </c>
      <c r="P448" s="10">
        <f t="shared" si="397"/>
        <v>50833</v>
      </c>
      <c r="Q448" s="10">
        <f t="shared" si="398"/>
        <v>90526</v>
      </c>
      <c r="R448" s="10" t="str">
        <f t="shared" si="399"/>
        <v>Yes</v>
      </c>
      <c r="S448" s="10" t="str">
        <f t="shared" si="400"/>
        <v>Revolve/CRC</v>
      </c>
      <c r="T448" s="10" t="str">
        <f t="shared" si="401"/>
        <v>Wollongong Waste and Resource Recovery Park</v>
      </c>
      <c r="U448" s="10">
        <f t="shared" si="402"/>
        <v>0</v>
      </c>
      <c r="V448" s="10">
        <f t="shared" si="403"/>
        <v>0</v>
      </c>
      <c r="W448" s="10">
        <f t="shared" si="404"/>
        <v>0</v>
      </c>
      <c r="X448" s="10">
        <f t="shared" si="405"/>
        <v>0</v>
      </c>
      <c r="Y448" s="10">
        <f t="shared" si="406"/>
        <v>0</v>
      </c>
      <c r="Z448" s="10">
        <f t="shared" si="407"/>
        <v>0</v>
      </c>
      <c r="AA448" s="10">
        <f t="shared" si="408"/>
        <v>0</v>
      </c>
      <c r="AB448" s="10">
        <f t="shared" si="409"/>
        <v>0</v>
      </c>
      <c r="AC448" s="10">
        <f t="shared" si="410"/>
        <v>0</v>
      </c>
      <c r="AD448" s="10">
        <f t="shared" si="411"/>
        <v>0</v>
      </c>
      <c r="AE448" s="10">
        <f t="shared" si="412"/>
        <v>0</v>
      </c>
      <c r="AF448" s="10">
        <f t="shared" si="413"/>
        <v>0</v>
      </c>
      <c r="AG448" s="10">
        <f t="shared" si="414"/>
        <v>0</v>
      </c>
      <c r="AH448" s="10">
        <f t="shared" si="415"/>
        <v>0</v>
      </c>
      <c r="AI448" s="10">
        <f t="shared" si="416"/>
        <v>0</v>
      </c>
      <c r="AJ448" s="10">
        <f t="shared" si="417"/>
        <v>0</v>
      </c>
      <c r="AK448" s="10">
        <f t="shared" si="418"/>
        <v>0</v>
      </c>
      <c r="AL448" s="10">
        <f t="shared" si="419"/>
        <v>0</v>
      </c>
      <c r="AM448" s="10">
        <f t="shared" si="420"/>
        <v>0</v>
      </c>
      <c r="AN448" s="46">
        <f t="shared" si="421"/>
        <v>0</v>
      </c>
      <c r="AO448" s="10">
        <f t="shared" si="422"/>
        <v>0</v>
      </c>
      <c r="AP448" s="10">
        <f t="shared" si="423"/>
        <v>0</v>
      </c>
      <c r="AQ448" s="10">
        <f t="shared" si="424"/>
        <v>0</v>
      </c>
      <c r="AR448" s="10">
        <f t="shared" si="425"/>
        <v>0</v>
      </c>
      <c r="AS448" s="10">
        <f t="shared" si="426"/>
        <v>0</v>
      </c>
      <c r="AT448" s="10">
        <f t="shared" si="427"/>
        <v>0</v>
      </c>
      <c r="AU448" s="10">
        <f t="shared" si="428"/>
        <v>0</v>
      </c>
      <c r="AV448" s="10">
        <f t="shared" si="429"/>
        <v>0</v>
      </c>
      <c r="AW448" s="10">
        <f t="shared" si="430"/>
        <v>0</v>
      </c>
      <c r="AX448" s="10">
        <f t="shared" si="431"/>
        <v>0</v>
      </c>
    </row>
    <row r="449" spans="1:50" ht="13.5" thickTop="1" x14ac:dyDescent="0.2">
      <c r="A449" s="11"/>
      <c r="B449" s="20"/>
      <c r="C449" s="11" t="s">
        <v>30</v>
      </c>
      <c r="D449" s="11"/>
      <c r="E449" s="12"/>
      <c r="F449" s="13">
        <f t="shared" ref="F449:AX449" si="432">COUNTIF(F407:F448,"&gt;0")</f>
        <v>42</v>
      </c>
      <c r="G449" s="13">
        <f t="shared" si="432"/>
        <v>42</v>
      </c>
      <c r="H449" s="13">
        <f t="shared" si="432"/>
        <v>42</v>
      </c>
      <c r="I449" s="13">
        <f t="shared" si="432"/>
        <v>42</v>
      </c>
      <c r="J449" s="13">
        <f t="shared" si="432"/>
        <v>42</v>
      </c>
      <c r="K449" s="13">
        <f t="shared" si="432"/>
        <v>42</v>
      </c>
      <c r="L449" s="13">
        <f t="shared" si="432"/>
        <v>0</v>
      </c>
      <c r="M449" s="13">
        <f t="shared" si="432"/>
        <v>42</v>
      </c>
      <c r="N449" s="13">
        <f t="shared" si="432"/>
        <v>42</v>
      </c>
      <c r="O449" s="13">
        <f t="shared" si="432"/>
        <v>32</v>
      </c>
      <c r="P449" s="13">
        <f t="shared" si="432"/>
        <v>7</v>
      </c>
      <c r="Q449" s="13">
        <f t="shared" si="432"/>
        <v>41</v>
      </c>
      <c r="R449" s="13">
        <f t="shared" si="432"/>
        <v>0</v>
      </c>
      <c r="S449" s="13">
        <f t="shared" si="432"/>
        <v>0</v>
      </c>
      <c r="T449" s="13">
        <f t="shared" si="432"/>
        <v>0</v>
      </c>
      <c r="U449" s="13">
        <f t="shared" si="432"/>
        <v>0</v>
      </c>
      <c r="V449" s="13">
        <f t="shared" si="432"/>
        <v>0</v>
      </c>
      <c r="W449" s="13">
        <f t="shared" si="432"/>
        <v>0</v>
      </c>
      <c r="X449" s="13">
        <f t="shared" si="432"/>
        <v>0</v>
      </c>
      <c r="Y449" s="13">
        <f t="shared" si="432"/>
        <v>0</v>
      </c>
      <c r="Z449" s="13">
        <f t="shared" si="432"/>
        <v>0</v>
      </c>
      <c r="AA449" s="13">
        <f t="shared" si="432"/>
        <v>0</v>
      </c>
      <c r="AB449" s="13">
        <f t="shared" si="432"/>
        <v>0</v>
      </c>
      <c r="AC449" s="13">
        <f t="shared" si="432"/>
        <v>0</v>
      </c>
      <c r="AD449" s="13">
        <f t="shared" si="432"/>
        <v>0</v>
      </c>
      <c r="AE449" s="13">
        <f t="shared" si="432"/>
        <v>0</v>
      </c>
      <c r="AF449" s="13">
        <f t="shared" si="432"/>
        <v>0</v>
      </c>
      <c r="AG449" s="13">
        <f t="shared" si="432"/>
        <v>0</v>
      </c>
      <c r="AH449" s="13">
        <f t="shared" si="432"/>
        <v>0</v>
      </c>
      <c r="AI449" s="13">
        <f t="shared" si="432"/>
        <v>0</v>
      </c>
      <c r="AJ449" s="13">
        <f t="shared" si="432"/>
        <v>0</v>
      </c>
      <c r="AK449" s="13">
        <f t="shared" si="432"/>
        <v>0</v>
      </c>
      <c r="AL449" s="13">
        <f t="shared" si="432"/>
        <v>0</v>
      </c>
      <c r="AM449" s="44">
        <f t="shared" si="432"/>
        <v>0</v>
      </c>
      <c r="AN449" s="13">
        <f t="shared" si="432"/>
        <v>0</v>
      </c>
      <c r="AO449" s="13">
        <f t="shared" si="432"/>
        <v>0</v>
      </c>
      <c r="AP449" s="13">
        <f t="shared" si="432"/>
        <v>0</v>
      </c>
      <c r="AQ449" s="13">
        <f t="shared" si="432"/>
        <v>0</v>
      </c>
      <c r="AR449" s="13">
        <f t="shared" si="432"/>
        <v>0</v>
      </c>
      <c r="AS449" s="13">
        <f t="shared" si="432"/>
        <v>0</v>
      </c>
      <c r="AT449" s="13">
        <f t="shared" si="432"/>
        <v>0</v>
      </c>
      <c r="AU449" s="13">
        <f t="shared" si="432"/>
        <v>0</v>
      </c>
      <c r="AV449" s="13">
        <f t="shared" si="432"/>
        <v>0</v>
      </c>
      <c r="AW449" s="13">
        <f t="shared" si="432"/>
        <v>0</v>
      </c>
      <c r="AX449" s="13">
        <f t="shared" si="432"/>
        <v>0</v>
      </c>
    </row>
    <row r="450" spans="1:50" x14ac:dyDescent="0.2">
      <c r="A450" s="8"/>
      <c r="B450" s="14" t="s">
        <v>46</v>
      </c>
      <c r="C450" s="8" t="s">
        <v>31</v>
      </c>
      <c r="D450" s="8"/>
      <c r="E450" s="80"/>
      <c r="F450" s="15">
        <f t="shared" ref="F450:AX450" si="433">SUM(F407:F448)</f>
        <v>6309290</v>
      </c>
      <c r="G450" s="15">
        <f t="shared" si="433"/>
        <v>2463895</v>
      </c>
      <c r="H450" s="110">
        <f>F450/G450</f>
        <v>2.56069759466211</v>
      </c>
      <c r="I450" s="15">
        <f t="shared" si="433"/>
        <v>20544.199999999997</v>
      </c>
      <c r="J450" s="15">
        <f t="shared" si="433"/>
        <v>100863.09999999996</v>
      </c>
      <c r="K450" s="15">
        <f t="shared" si="433"/>
        <v>20724.759999999995</v>
      </c>
      <c r="L450" s="15">
        <f t="shared" si="433"/>
        <v>0</v>
      </c>
      <c r="M450" s="15">
        <f t="shared" si="433"/>
        <v>2215068</v>
      </c>
      <c r="N450" s="15">
        <f t="shared" si="433"/>
        <v>2173112</v>
      </c>
      <c r="O450" s="15">
        <f t="shared" si="433"/>
        <v>1332182</v>
      </c>
      <c r="P450" s="15">
        <f t="shared" si="433"/>
        <v>326579</v>
      </c>
      <c r="Q450" s="15">
        <f t="shared" si="433"/>
        <v>2435417</v>
      </c>
      <c r="R450" s="15">
        <f t="shared" si="433"/>
        <v>0</v>
      </c>
      <c r="S450" s="15">
        <f t="shared" si="433"/>
        <v>0</v>
      </c>
      <c r="T450" s="15">
        <f t="shared" si="433"/>
        <v>0</v>
      </c>
      <c r="U450" s="15">
        <f t="shared" si="433"/>
        <v>0</v>
      </c>
      <c r="V450" s="15">
        <f t="shared" si="433"/>
        <v>0</v>
      </c>
      <c r="W450" s="15">
        <f t="shared" si="433"/>
        <v>0</v>
      </c>
      <c r="X450" s="15">
        <f t="shared" si="433"/>
        <v>0</v>
      </c>
      <c r="Y450" s="15">
        <f t="shared" si="433"/>
        <v>0</v>
      </c>
      <c r="Z450" s="15">
        <f t="shared" si="433"/>
        <v>0</v>
      </c>
      <c r="AA450" s="15">
        <f t="shared" si="433"/>
        <v>0</v>
      </c>
      <c r="AB450" s="15">
        <f t="shared" si="433"/>
        <v>0</v>
      </c>
      <c r="AC450" s="15">
        <f t="shared" si="433"/>
        <v>0</v>
      </c>
      <c r="AD450" s="15">
        <f t="shared" si="433"/>
        <v>0</v>
      </c>
      <c r="AE450" s="15">
        <f t="shared" si="433"/>
        <v>0</v>
      </c>
      <c r="AF450" s="15">
        <f t="shared" si="433"/>
        <v>0</v>
      </c>
      <c r="AG450" s="15">
        <f t="shared" si="433"/>
        <v>0</v>
      </c>
      <c r="AH450" s="15">
        <f t="shared" si="433"/>
        <v>0</v>
      </c>
      <c r="AI450" s="15">
        <f t="shared" si="433"/>
        <v>0</v>
      </c>
      <c r="AJ450" s="15">
        <f t="shared" si="433"/>
        <v>0</v>
      </c>
      <c r="AK450" s="15">
        <f t="shared" si="433"/>
        <v>0</v>
      </c>
      <c r="AL450" s="15">
        <f t="shared" si="433"/>
        <v>0</v>
      </c>
      <c r="AM450" s="45">
        <f t="shared" si="433"/>
        <v>0</v>
      </c>
      <c r="AN450" s="15">
        <f t="shared" si="433"/>
        <v>0</v>
      </c>
      <c r="AO450" s="15">
        <f t="shared" si="433"/>
        <v>0</v>
      </c>
      <c r="AP450" s="15">
        <f t="shared" si="433"/>
        <v>0</v>
      </c>
      <c r="AQ450" s="15">
        <f t="shared" si="433"/>
        <v>0</v>
      </c>
      <c r="AR450" s="15">
        <f t="shared" si="433"/>
        <v>0</v>
      </c>
      <c r="AS450" s="15">
        <f t="shared" si="433"/>
        <v>0</v>
      </c>
      <c r="AT450" s="15">
        <f t="shared" si="433"/>
        <v>0</v>
      </c>
      <c r="AU450" s="15">
        <f t="shared" si="433"/>
        <v>0</v>
      </c>
      <c r="AV450" s="15">
        <f t="shared" si="433"/>
        <v>0</v>
      </c>
      <c r="AW450" s="15">
        <f t="shared" si="433"/>
        <v>0</v>
      </c>
      <c r="AX450" s="15">
        <f t="shared" si="433"/>
        <v>0</v>
      </c>
    </row>
    <row r="451" spans="1:50" x14ac:dyDescent="0.2">
      <c r="A451" s="8"/>
      <c r="B451" s="14"/>
      <c r="C451" s="8" t="s">
        <v>32</v>
      </c>
      <c r="D451" s="8"/>
      <c r="E451" s="80"/>
      <c r="F451" s="10">
        <f t="shared" ref="F451:AX451" si="434">MIN(F407:F448)</f>
        <v>14962</v>
      </c>
      <c r="G451" s="10">
        <f t="shared" si="434"/>
        <v>5237</v>
      </c>
      <c r="H451" s="10">
        <f t="shared" si="434"/>
        <v>1.8448801100628931</v>
      </c>
      <c r="I451" s="10">
        <f t="shared" si="434"/>
        <v>5.7</v>
      </c>
      <c r="J451" s="10">
        <f t="shared" si="434"/>
        <v>19.2</v>
      </c>
      <c r="K451" s="10">
        <f t="shared" si="434"/>
        <v>357.52</v>
      </c>
      <c r="L451" s="10">
        <f t="shared" si="434"/>
        <v>0</v>
      </c>
      <c r="M451" s="10">
        <f t="shared" si="434"/>
        <v>4926</v>
      </c>
      <c r="N451" s="10">
        <f t="shared" si="434"/>
        <v>4844</v>
      </c>
      <c r="O451" s="10">
        <f t="shared" si="434"/>
        <v>0</v>
      </c>
      <c r="P451" s="10">
        <f t="shared" si="434"/>
        <v>0</v>
      </c>
      <c r="Q451" s="10">
        <f t="shared" si="434"/>
        <v>0</v>
      </c>
      <c r="R451" s="10">
        <f t="shared" si="434"/>
        <v>0</v>
      </c>
      <c r="S451" s="10">
        <f t="shared" si="434"/>
        <v>0</v>
      </c>
      <c r="T451" s="10">
        <f t="shared" si="434"/>
        <v>0</v>
      </c>
      <c r="U451" s="10">
        <f t="shared" si="434"/>
        <v>0</v>
      </c>
      <c r="V451" s="10">
        <f t="shared" si="434"/>
        <v>0</v>
      </c>
      <c r="W451" s="10">
        <f t="shared" si="434"/>
        <v>0</v>
      </c>
      <c r="X451" s="10">
        <f t="shared" si="434"/>
        <v>0</v>
      </c>
      <c r="Y451" s="10">
        <f t="shared" si="434"/>
        <v>0</v>
      </c>
      <c r="Z451" s="10">
        <f t="shared" si="434"/>
        <v>0</v>
      </c>
      <c r="AA451" s="10">
        <f t="shared" si="434"/>
        <v>0</v>
      </c>
      <c r="AB451" s="10">
        <f t="shared" si="434"/>
        <v>0</v>
      </c>
      <c r="AC451" s="10">
        <f t="shared" si="434"/>
        <v>0</v>
      </c>
      <c r="AD451" s="10">
        <f t="shared" si="434"/>
        <v>0</v>
      </c>
      <c r="AE451" s="10">
        <f t="shared" si="434"/>
        <v>0</v>
      </c>
      <c r="AF451" s="10">
        <f t="shared" si="434"/>
        <v>0</v>
      </c>
      <c r="AG451" s="10">
        <f t="shared" si="434"/>
        <v>0</v>
      </c>
      <c r="AH451" s="10">
        <f t="shared" si="434"/>
        <v>0</v>
      </c>
      <c r="AI451" s="10">
        <f t="shared" si="434"/>
        <v>0</v>
      </c>
      <c r="AJ451" s="10">
        <f t="shared" si="434"/>
        <v>0</v>
      </c>
      <c r="AK451" s="10">
        <f t="shared" si="434"/>
        <v>0</v>
      </c>
      <c r="AL451" s="10">
        <f t="shared" si="434"/>
        <v>0</v>
      </c>
      <c r="AM451" s="46">
        <f t="shared" si="434"/>
        <v>0</v>
      </c>
      <c r="AN451" s="10">
        <f t="shared" si="434"/>
        <v>0</v>
      </c>
      <c r="AO451" s="10">
        <f t="shared" si="434"/>
        <v>0</v>
      </c>
      <c r="AP451" s="10">
        <f t="shared" si="434"/>
        <v>0</v>
      </c>
      <c r="AQ451" s="10">
        <f t="shared" si="434"/>
        <v>0</v>
      </c>
      <c r="AR451" s="10">
        <f t="shared" si="434"/>
        <v>0</v>
      </c>
      <c r="AS451" s="10">
        <f t="shared" si="434"/>
        <v>0</v>
      </c>
      <c r="AT451" s="10">
        <f t="shared" si="434"/>
        <v>0</v>
      </c>
      <c r="AU451" s="10">
        <f t="shared" si="434"/>
        <v>0</v>
      </c>
      <c r="AV451" s="10">
        <f t="shared" si="434"/>
        <v>0</v>
      </c>
      <c r="AW451" s="10">
        <f t="shared" si="434"/>
        <v>0</v>
      </c>
      <c r="AX451" s="10">
        <f t="shared" si="434"/>
        <v>0</v>
      </c>
    </row>
    <row r="452" spans="1:50" x14ac:dyDescent="0.2">
      <c r="A452" s="8"/>
      <c r="B452" s="14"/>
      <c r="C452" s="8" t="s">
        <v>33</v>
      </c>
      <c r="D452" s="8"/>
      <c r="E452" s="80"/>
      <c r="F452" s="10">
        <f t="shared" ref="F452:AX452" si="435">MAX(F407:F448)</f>
        <v>382831</v>
      </c>
      <c r="G452" s="10">
        <f t="shared" si="435"/>
        <v>144115</v>
      </c>
      <c r="H452" s="10">
        <f t="shared" si="435"/>
        <v>3.4028181289947703</v>
      </c>
      <c r="I452" s="10">
        <f t="shared" si="435"/>
        <v>4566.7</v>
      </c>
      <c r="J452" s="10">
        <f t="shared" si="435"/>
        <v>9301</v>
      </c>
      <c r="K452" s="10">
        <f t="shared" si="435"/>
        <v>760</v>
      </c>
      <c r="L452" s="10">
        <f t="shared" si="435"/>
        <v>0</v>
      </c>
      <c r="M452" s="10">
        <f t="shared" si="435"/>
        <v>140322</v>
      </c>
      <c r="N452" s="10">
        <f t="shared" si="435"/>
        <v>129115</v>
      </c>
      <c r="O452" s="10">
        <f t="shared" si="435"/>
        <v>124758</v>
      </c>
      <c r="P452" s="10">
        <f t="shared" si="435"/>
        <v>84741</v>
      </c>
      <c r="Q452" s="10">
        <f t="shared" si="435"/>
        <v>144115</v>
      </c>
      <c r="R452" s="10">
        <f t="shared" si="435"/>
        <v>0</v>
      </c>
      <c r="S452" s="10">
        <f t="shared" si="435"/>
        <v>0</v>
      </c>
      <c r="T452" s="10">
        <f t="shared" si="435"/>
        <v>0</v>
      </c>
      <c r="U452" s="10">
        <f t="shared" si="435"/>
        <v>0</v>
      </c>
      <c r="V452" s="10">
        <f t="shared" si="435"/>
        <v>0</v>
      </c>
      <c r="W452" s="10">
        <f t="shared" si="435"/>
        <v>0</v>
      </c>
      <c r="X452" s="10">
        <f t="shared" si="435"/>
        <v>0</v>
      </c>
      <c r="Y452" s="10">
        <f t="shared" si="435"/>
        <v>0</v>
      </c>
      <c r="Z452" s="10">
        <f t="shared" si="435"/>
        <v>0</v>
      </c>
      <c r="AA452" s="10">
        <f t="shared" si="435"/>
        <v>0</v>
      </c>
      <c r="AB452" s="10">
        <f t="shared" si="435"/>
        <v>0</v>
      </c>
      <c r="AC452" s="10">
        <f t="shared" si="435"/>
        <v>0</v>
      </c>
      <c r="AD452" s="10">
        <f t="shared" si="435"/>
        <v>0</v>
      </c>
      <c r="AE452" s="10">
        <f t="shared" si="435"/>
        <v>0</v>
      </c>
      <c r="AF452" s="10">
        <f t="shared" si="435"/>
        <v>0</v>
      </c>
      <c r="AG452" s="10">
        <f t="shared" si="435"/>
        <v>0</v>
      </c>
      <c r="AH452" s="10">
        <f t="shared" si="435"/>
        <v>0</v>
      </c>
      <c r="AI452" s="10">
        <f t="shared" si="435"/>
        <v>0</v>
      </c>
      <c r="AJ452" s="10">
        <f t="shared" si="435"/>
        <v>0</v>
      </c>
      <c r="AK452" s="10">
        <f t="shared" si="435"/>
        <v>0</v>
      </c>
      <c r="AL452" s="10">
        <f t="shared" si="435"/>
        <v>0</v>
      </c>
      <c r="AM452" s="46">
        <f t="shared" si="435"/>
        <v>0</v>
      </c>
      <c r="AN452" s="10">
        <f t="shared" si="435"/>
        <v>0</v>
      </c>
      <c r="AO452" s="10">
        <f t="shared" si="435"/>
        <v>0</v>
      </c>
      <c r="AP452" s="10">
        <f t="shared" si="435"/>
        <v>0</v>
      </c>
      <c r="AQ452" s="10">
        <f t="shared" si="435"/>
        <v>0</v>
      </c>
      <c r="AR452" s="10">
        <f t="shared" si="435"/>
        <v>0</v>
      </c>
      <c r="AS452" s="10">
        <f t="shared" si="435"/>
        <v>0</v>
      </c>
      <c r="AT452" s="10">
        <f t="shared" si="435"/>
        <v>0</v>
      </c>
      <c r="AU452" s="10">
        <f t="shared" si="435"/>
        <v>0</v>
      </c>
      <c r="AV452" s="10">
        <f t="shared" si="435"/>
        <v>0</v>
      </c>
      <c r="AW452" s="10">
        <f t="shared" si="435"/>
        <v>0</v>
      </c>
      <c r="AX452" s="10">
        <f t="shared" si="435"/>
        <v>0</v>
      </c>
    </row>
    <row r="453" spans="1:50" x14ac:dyDescent="0.2">
      <c r="A453" s="8"/>
      <c r="B453" s="14"/>
      <c r="C453" s="8" t="s">
        <v>34</v>
      </c>
      <c r="D453" s="8"/>
      <c r="E453" s="80"/>
      <c r="F453" s="10">
        <f t="shared" ref="F453:AX453" si="436">AVERAGE(F407:F448)</f>
        <v>150221.19047619047</v>
      </c>
      <c r="G453" s="10">
        <f t="shared" si="436"/>
        <v>58664.166666666664</v>
      </c>
      <c r="H453" s="10">
        <f t="shared" si="436"/>
        <v>2.542973715237391</v>
      </c>
      <c r="I453" s="10">
        <f t="shared" si="436"/>
        <v>489.147619047619</v>
      </c>
      <c r="J453" s="10">
        <f t="shared" si="436"/>
        <v>2401.50238095238</v>
      </c>
      <c r="K453" s="10">
        <f t="shared" si="436"/>
        <v>493.44666666666654</v>
      </c>
      <c r="L453" s="10" t="e">
        <f t="shared" si="436"/>
        <v>#DIV/0!</v>
      </c>
      <c r="M453" s="10">
        <f t="shared" si="436"/>
        <v>52739.714285714283</v>
      </c>
      <c r="N453" s="10">
        <f t="shared" si="436"/>
        <v>51740.761904761908</v>
      </c>
      <c r="O453" s="10">
        <f t="shared" si="436"/>
        <v>31718.619047619046</v>
      </c>
      <c r="P453" s="10">
        <f t="shared" si="436"/>
        <v>7775.6904761904761</v>
      </c>
      <c r="Q453" s="10">
        <f t="shared" si="436"/>
        <v>57986.119047619046</v>
      </c>
      <c r="R453" s="10" t="e">
        <f t="shared" si="436"/>
        <v>#DIV/0!</v>
      </c>
      <c r="S453" s="10">
        <f t="shared" si="436"/>
        <v>0</v>
      </c>
      <c r="T453" s="10">
        <f t="shared" si="436"/>
        <v>0</v>
      </c>
      <c r="U453" s="10">
        <f t="shared" si="436"/>
        <v>0</v>
      </c>
      <c r="V453" s="10">
        <f t="shared" si="436"/>
        <v>0</v>
      </c>
      <c r="W453" s="10">
        <f t="shared" si="436"/>
        <v>0</v>
      </c>
      <c r="X453" s="10">
        <f t="shared" si="436"/>
        <v>0</v>
      </c>
      <c r="Y453" s="10">
        <f t="shared" si="436"/>
        <v>0</v>
      </c>
      <c r="Z453" s="10">
        <f t="shared" si="436"/>
        <v>0</v>
      </c>
      <c r="AA453" s="10">
        <f t="shared" si="436"/>
        <v>0</v>
      </c>
      <c r="AB453" s="10">
        <f t="shared" si="436"/>
        <v>0</v>
      </c>
      <c r="AC453" s="10">
        <f t="shared" si="436"/>
        <v>0</v>
      </c>
      <c r="AD453" s="10">
        <f t="shared" si="436"/>
        <v>0</v>
      </c>
      <c r="AE453" s="10">
        <f t="shared" si="436"/>
        <v>0</v>
      </c>
      <c r="AF453" s="10">
        <f t="shared" si="436"/>
        <v>0</v>
      </c>
      <c r="AG453" s="10">
        <f t="shared" si="436"/>
        <v>0</v>
      </c>
      <c r="AH453" s="10">
        <f t="shared" si="436"/>
        <v>0</v>
      </c>
      <c r="AI453" s="10">
        <f t="shared" si="436"/>
        <v>0</v>
      </c>
      <c r="AJ453" s="10">
        <f t="shared" si="436"/>
        <v>0</v>
      </c>
      <c r="AK453" s="10">
        <f t="shared" si="436"/>
        <v>0</v>
      </c>
      <c r="AL453" s="10">
        <f t="shared" si="436"/>
        <v>0</v>
      </c>
      <c r="AM453" s="46">
        <f t="shared" si="436"/>
        <v>0</v>
      </c>
      <c r="AN453" s="10">
        <f t="shared" si="436"/>
        <v>0</v>
      </c>
      <c r="AO453" s="10">
        <f t="shared" si="436"/>
        <v>0</v>
      </c>
      <c r="AP453" s="10">
        <f t="shared" si="436"/>
        <v>0</v>
      </c>
      <c r="AQ453" s="10">
        <f t="shared" si="436"/>
        <v>0</v>
      </c>
      <c r="AR453" s="10">
        <f t="shared" si="436"/>
        <v>0</v>
      </c>
      <c r="AS453" s="10">
        <f t="shared" si="436"/>
        <v>0</v>
      </c>
      <c r="AT453" s="10">
        <f t="shared" si="436"/>
        <v>0</v>
      </c>
      <c r="AU453" s="10">
        <f t="shared" si="436"/>
        <v>0</v>
      </c>
      <c r="AV453" s="10">
        <f t="shared" si="436"/>
        <v>0</v>
      </c>
      <c r="AW453" s="10">
        <f t="shared" si="436"/>
        <v>0</v>
      </c>
      <c r="AX453" s="10">
        <f t="shared" si="436"/>
        <v>0</v>
      </c>
    </row>
    <row r="454" spans="1:50" ht="13.5" thickBot="1" x14ac:dyDescent="0.25">
      <c r="A454" s="16"/>
      <c r="B454" s="17"/>
      <c r="C454" s="16" t="s">
        <v>35</v>
      </c>
      <c r="D454" s="16"/>
      <c r="E454" s="80"/>
      <c r="F454" s="18">
        <f t="shared" ref="F454:AX454" si="437">MEDIAN(F407:F448)</f>
        <v>142821.5</v>
      </c>
      <c r="G454" s="18">
        <f t="shared" si="437"/>
        <v>54937.5</v>
      </c>
      <c r="H454" s="18">
        <f t="shared" si="437"/>
        <v>2.5818450247106286</v>
      </c>
      <c r="I454" s="18">
        <f t="shared" si="437"/>
        <v>128.80000000000001</v>
      </c>
      <c r="J454" s="18">
        <f t="shared" si="437"/>
        <v>1544.4</v>
      </c>
      <c r="K454" s="18">
        <f t="shared" si="437"/>
        <v>466.44</v>
      </c>
      <c r="L454" s="18" t="e">
        <f t="shared" si="437"/>
        <v>#NUM!</v>
      </c>
      <c r="M454" s="18">
        <f t="shared" si="437"/>
        <v>48103</v>
      </c>
      <c r="N454" s="18">
        <f t="shared" si="437"/>
        <v>46380</v>
      </c>
      <c r="O454" s="18">
        <f t="shared" si="437"/>
        <v>26179.5</v>
      </c>
      <c r="P454" s="18">
        <f t="shared" si="437"/>
        <v>0</v>
      </c>
      <c r="Q454" s="18">
        <f t="shared" si="437"/>
        <v>54937.5</v>
      </c>
      <c r="R454" s="18" t="e">
        <f t="shared" si="437"/>
        <v>#NUM!</v>
      </c>
      <c r="S454" s="18">
        <f t="shared" si="437"/>
        <v>0</v>
      </c>
      <c r="T454" s="18">
        <f t="shared" si="437"/>
        <v>0</v>
      </c>
      <c r="U454" s="18">
        <f t="shared" si="437"/>
        <v>0</v>
      </c>
      <c r="V454" s="18">
        <f t="shared" si="437"/>
        <v>0</v>
      </c>
      <c r="W454" s="18">
        <f t="shared" si="437"/>
        <v>0</v>
      </c>
      <c r="X454" s="18">
        <f t="shared" si="437"/>
        <v>0</v>
      </c>
      <c r="Y454" s="18">
        <f t="shared" si="437"/>
        <v>0</v>
      </c>
      <c r="Z454" s="18">
        <f t="shared" si="437"/>
        <v>0</v>
      </c>
      <c r="AA454" s="18">
        <f t="shared" si="437"/>
        <v>0</v>
      </c>
      <c r="AB454" s="18">
        <f t="shared" si="437"/>
        <v>0</v>
      </c>
      <c r="AC454" s="18">
        <f t="shared" si="437"/>
        <v>0</v>
      </c>
      <c r="AD454" s="18">
        <f t="shared" si="437"/>
        <v>0</v>
      </c>
      <c r="AE454" s="18">
        <f t="shared" si="437"/>
        <v>0</v>
      </c>
      <c r="AF454" s="18">
        <f t="shared" si="437"/>
        <v>0</v>
      </c>
      <c r="AG454" s="18">
        <f t="shared" si="437"/>
        <v>0</v>
      </c>
      <c r="AH454" s="18">
        <f t="shared" si="437"/>
        <v>0</v>
      </c>
      <c r="AI454" s="18">
        <f t="shared" si="437"/>
        <v>0</v>
      </c>
      <c r="AJ454" s="18">
        <f t="shared" si="437"/>
        <v>0</v>
      </c>
      <c r="AK454" s="18">
        <f t="shared" si="437"/>
        <v>0</v>
      </c>
      <c r="AL454" s="18">
        <f t="shared" si="437"/>
        <v>0</v>
      </c>
      <c r="AM454" s="47">
        <f t="shared" si="437"/>
        <v>0</v>
      </c>
      <c r="AN454" s="18">
        <f t="shared" si="437"/>
        <v>0</v>
      </c>
      <c r="AO454" s="18">
        <f t="shared" si="437"/>
        <v>0</v>
      </c>
      <c r="AP454" s="18">
        <f t="shared" si="437"/>
        <v>0</v>
      </c>
      <c r="AQ454" s="18">
        <f t="shared" si="437"/>
        <v>0</v>
      </c>
      <c r="AR454" s="18">
        <f t="shared" si="437"/>
        <v>0</v>
      </c>
      <c r="AS454" s="18">
        <f t="shared" si="437"/>
        <v>0</v>
      </c>
      <c r="AT454" s="18">
        <f t="shared" si="437"/>
        <v>0</v>
      </c>
      <c r="AU454" s="18">
        <f t="shared" si="437"/>
        <v>0</v>
      </c>
      <c r="AV454" s="18">
        <f t="shared" si="437"/>
        <v>0</v>
      </c>
      <c r="AW454" s="18">
        <f t="shared" si="437"/>
        <v>0</v>
      </c>
      <c r="AX454" s="18">
        <f t="shared" si="437"/>
        <v>0</v>
      </c>
    </row>
    <row r="455" spans="1:50" ht="13.5" thickTop="1" x14ac:dyDescent="0.2">
      <c r="B455" s="48" t="s">
        <v>27</v>
      </c>
      <c r="F455"/>
      <c r="G455"/>
      <c r="H455"/>
      <c r="I455"/>
      <c r="J455"/>
      <c r="K455"/>
    </row>
    <row r="456" spans="1:50" x14ac:dyDescent="0.2">
      <c r="A456" s="48"/>
      <c r="B456" s="91" t="s">
        <v>9</v>
      </c>
      <c r="C456" s="113"/>
      <c r="D456" s="24"/>
      <c r="E456" s="24"/>
      <c r="F456" s="10">
        <f t="shared" ref="F456:AX456" si="438">F175</f>
        <v>4820381</v>
      </c>
      <c r="G456" s="10">
        <f t="shared" si="438"/>
        <v>1832610</v>
      </c>
      <c r="H456" s="10">
        <f t="shared" si="438"/>
        <v>2.6303365145884832</v>
      </c>
      <c r="I456" s="10">
        <f t="shared" si="438"/>
        <v>3692.3999999999996</v>
      </c>
      <c r="J456" s="10">
        <f t="shared" si="438"/>
        <v>98113.199999999983</v>
      </c>
      <c r="K456" s="10">
        <f t="shared" si="438"/>
        <v>14739.979999999998</v>
      </c>
      <c r="L456" s="10">
        <f t="shared" si="438"/>
        <v>0</v>
      </c>
      <c r="M456" s="10">
        <f t="shared" si="438"/>
        <v>1640326</v>
      </c>
      <c r="N456" s="10">
        <f t="shared" si="438"/>
        <v>1606743</v>
      </c>
      <c r="O456" s="10">
        <f t="shared" si="438"/>
        <v>1030543</v>
      </c>
      <c r="P456" s="10">
        <f t="shared" si="438"/>
        <v>152762</v>
      </c>
      <c r="Q456" s="10">
        <f t="shared" si="438"/>
        <v>1832610</v>
      </c>
      <c r="R456" s="10">
        <f t="shared" si="438"/>
        <v>0</v>
      </c>
      <c r="S456" s="10">
        <f t="shared" si="438"/>
        <v>0</v>
      </c>
      <c r="T456" s="10">
        <f t="shared" si="438"/>
        <v>0</v>
      </c>
      <c r="U456" s="10">
        <f t="shared" si="438"/>
        <v>0</v>
      </c>
      <c r="V456" s="10">
        <f t="shared" si="438"/>
        <v>0</v>
      </c>
      <c r="W456" s="10">
        <f t="shared" si="438"/>
        <v>0</v>
      </c>
      <c r="X456" s="10">
        <f t="shared" si="438"/>
        <v>0</v>
      </c>
      <c r="Y456" s="10">
        <f t="shared" si="438"/>
        <v>0</v>
      </c>
      <c r="Z456" s="10">
        <f t="shared" si="438"/>
        <v>0</v>
      </c>
      <c r="AA456" s="10">
        <f t="shared" si="438"/>
        <v>0</v>
      </c>
      <c r="AB456" s="10">
        <f t="shared" si="438"/>
        <v>0</v>
      </c>
      <c r="AC456" s="10">
        <f t="shared" si="438"/>
        <v>0</v>
      </c>
      <c r="AD456" s="10">
        <f t="shared" si="438"/>
        <v>0</v>
      </c>
      <c r="AE456" s="10">
        <f t="shared" si="438"/>
        <v>0</v>
      </c>
      <c r="AF456" s="10">
        <f t="shared" si="438"/>
        <v>0</v>
      </c>
      <c r="AG456" s="10">
        <f t="shared" si="438"/>
        <v>0</v>
      </c>
      <c r="AH456" s="10">
        <f t="shared" si="438"/>
        <v>0</v>
      </c>
      <c r="AI456" s="10">
        <f t="shared" si="438"/>
        <v>0</v>
      </c>
      <c r="AJ456" s="10">
        <f t="shared" si="438"/>
        <v>0</v>
      </c>
      <c r="AK456" s="10">
        <f t="shared" si="438"/>
        <v>0</v>
      </c>
      <c r="AL456" s="10">
        <f t="shared" si="438"/>
        <v>0</v>
      </c>
      <c r="AM456" s="46">
        <f t="shared" si="438"/>
        <v>0</v>
      </c>
      <c r="AN456" s="10">
        <f t="shared" si="438"/>
        <v>0</v>
      </c>
      <c r="AO456" s="10">
        <f t="shared" si="438"/>
        <v>0</v>
      </c>
      <c r="AP456" s="10">
        <f t="shared" si="438"/>
        <v>0</v>
      </c>
      <c r="AQ456" s="10">
        <f t="shared" si="438"/>
        <v>0</v>
      </c>
      <c r="AR456" s="10">
        <f t="shared" si="438"/>
        <v>0</v>
      </c>
      <c r="AS456" s="10">
        <f t="shared" si="438"/>
        <v>0</v>
      </c>
      <c r="AT456" s="10">
        <f t="shared" si="438"/>
        <v>0</v>
      </c>
      <c r="AU456" s="10">
        <f t="shared" si="438"/>
        <v>0</v>
      </c>
      <c r="AV456" s="10">
        <f t="shared" si="438"/>
        <v>0</v>
      </c>
      <c r="AW456" s="10">
        <f t="shared" si="438"/>
        <v>0</v>
      </c>
      <c r="AX456" s="10">
        <f t="shared" si="438"/>
        <v>0</v>
      </c>
    </row>
    <row r="457" spans="1:50" x14ac:dyDescent="0.2">
      <c r="A457" s="48"/>
      <c r="B457" s="91" t="s">
        <v>10</v>
      </c>
      <c r="C457" s="113"/>
      <c r="D457" s="24"/>
      <c r="E457" s="24"/>
      <c r="F457" s="10">
        <f t="shared" ref="F457:AX457" si="439">F197</f>
        <v>1488909</v>
      </c>
      <c r="G457" s="10">
        <f t="shared" si="439"/>
        <v>631285</v>
      </c>
      <c r="H457" s="10">
        <f t="shared" si="439"/>
        <v>2.3585369524065993</v>
      </c>
      <c r="I457" s="10">
        <f t="shared" si="439"/>
        <v>16851.8</v>
      </c>
      <c r="J457" s="10">
        <f t="shared" si="439"/>
        <v>2749.9</v>
      </c>
      <c r="K457" s="10">
        <f t="shared" si="439"/>
        <v>5984.78</v>
      </c>
      <c r="L457" s="10">
        <f t="shared" si="439"/>
        <v>0</v>
      </c>
      <c r="M457" s="10">
        <f t="shared" si="439"/>
        <v>574742</v>
      </c>
      <c r="N457" s="10">
        <f t="shared" si="439"/>
        <v>566369</v>
      </c>
      <c r="O457" s="10">
        <f t="shared" si="439"/>
        <v>301639</v>
      </c>
      <c r="P457" s="10">
        <f t="shared" si="439"/>
        <v>173817</v>
      </c>
      <c r="Q457" s="10">
        <f t="shared" si="439"/>
        <v>602807</v>
      </c>
      <c r="R457" s="10">
        <f t="shared" si="439"/>
        <v>0</v>
      </c>
      <c r="S457" s="10">
        <f t="shared" si="439"/>
        <v>0</v>
      </c>
      <c r="T457" s="10">
        <f t="shared" si="439"/>
        <v>0</v>
      </c>
      <c r="U457" s="10">
        <f t="shared" si="439"/>
        <v>0</v>
      </c>
      <c r="V457" s="10">
        <f t="shared" si="439"/>
        <v>0</v>
      </c>
      <c r="W457" s="10">
        <f t="shared" si="439"/>
        <v>0</v>
      </c>
      <c r="X457" s="10">
        <f t="shared" si="439"/>
        <v>0</v>
      </c>
      <c r="Y457" s="10">
        <f t="shared" si="439"/>
        <v>0</v>
      </c>
      <c r="Z457" s="10">
        <f t="shared" si="439"/>
        <v>0</v>
      </c>
      <c r="AA457" s="10">
        <f t="shared" si="439"/>
        <v>0</v>
      </c>
      <c r="AB457" s="10">
        <f t="shared" si="439"/>
        <v>0</v>
      </c>
      <c r="AC457" s="10">
        <f t="shared" si="439"/>
        <v>0</v>
      </c>
      <c r="AD457" s="10">
        <f t="shared" si="439"/>
        <v>0</v>
      </c>
      <c r="AE457" s="10">
        <f t="shared" si="439"/>
        <v>0</v>
      </c>
      <c r="AF457" s="10">
        <f t="shared" si="439"/>
        <v>0</v>
      </c>
      <c r="AG457" s="10">
        <f t="shared" si="439"/>
        <v>0</v>
      </c>
      <c r="AH457" s="10">
        <f t="shared" si="439"/>
        <v>0</v>
      </c>
      <c r="AI457" s="10">
        <f t="shared" si="439"/>
        <v>0</v>
      </c>
      <c r="AJ457" s="10">
        <f t="shared" si="439"/>
        <v>0</v>
      </c>
      <c r="AK457" s="10">
        <f t="shared" si="439"/>
        <v>0</v>
      </c>
      <c r="AL457" s="10">
        <f t="shared" si="439"/>
        <v>0</v>
      </c>
      <c r="AM457" s="46">
        <f t="shared" si="439"/>
        <v>0</v>
      </c>
      <c r="AN457" s="10">
        <f t="shared" si="439"/>
        <v>0</v>
      </c>
      <c r="AO457" s="10">
        <f t="shared" si="439"/>
        <v>0</v>
      </c>
      <c r="AP457" s="10">
        <f t="shared" si="439"/>
        <v>0</v>
      </c>
      <c r="AQ457" s="10">
        <f t="shared" si="439"/>
        <v>0</v>
      </c>
      <c r="AR457" s="10">
        <f t="shared" si="439"/>
        <v>0</v>
      </c>
      <c r="AS457" s="10">
        <f t="shared" si="439"/>
        <v>0</v>
      </c>
      <c r="AT457" s="10">
        <f t="shared" si="439"/>
        <v>0</v>
      </c>
      <c r="AU457" s="10">
        <f t="shared" si="439"/>
        <v>0</v>
      </c>
      <c r="AV457" s="10">
        <f t="shared" si="439"/>
        <v>0</v>
      </c>
      <c r="AW457" s="10">
        <f t="shared" si="439"/>
        <v>0</v>
      </c>
      <c r="AX457" s="10">
        <f t="shared" si="439"/>
        <v>0</v>
      </c>
    </row>
    <row r="458" spans="1:50" x14ac:dyDescent="0.2">
      <c r="A458" s="48"/>
      <c r="B458" s="91" t="s">
        <v>11</v>
      </c>
      <c r="C458" s="113"/>
      <c r="D458" s="24"/>
      <c r="E458" s="24"/>
      <c r="F458" s="10">
        <f t="shared" ref="F458:AX458" si="440">F226</f>
        <v>824731</v>
      </c>
      <c r="G458" s="10">
        <f t="shared" si="440"/>
        <v>379256</v>
      </c>
      <c r="H458" s="10">
        <f t="shared" si="440"/>
        <v>2.1746023793954481</v>
      </c>
      <c r="I458" s="10">
        <f t="shared" si="440"/>
        <v>64714.000000000007</v>
      </c>
      <c r="J458" s="10">
        <f t="shared" si="440"/>
        <v>501.99999999999994</v>
      </c>
      <c r="K458" s="10">
        <f t="shared" si="440"/>
        <v>9277.9999999999982</v>
      </c>
      <c r="L458" s="10">
        <f t="shared" si="440"/>
        <v>0</v>
      </c>
      <c r="M458" s="10">
        <f t="shared" si="440"/>
        <v>325279.01</v>
      </c>
      <c r="N458" s="10">
        <f t="shared" si="440"/>
        <v>316252</v>
      </c>
      <c r="O458" s="10">
        <f t="shared" si="440"/>
        <v>95115</v>
      </c>
      <c r="P458" s="10">
        <f t="shared" si="440"/>
        <v>173620</v>
      </c>
      <c r="Q458" s="10">
        <f t="shared" si="440"/>
        <v>310923</v>
      </c>
      <c r="R458" s="10">
        <f t="shared" si="440"/>
        <v>0</v>
      </c>
      <c r="S458" s="10">
        <f t="shared" si="440"/>
        <v>0</v>
      </c>
      <c r="T458" s="10">
        <f t="shared" si="440"/>
        <v>0</v>
      </c>
      <c r="U458" s="10">
        <f t="shared" si="440"/>
        <v>0</v>
      </c>
      <c r="V458" s="10">
        <f t="shared" si="440"/>
        <v>0</v>
      </c>
      <c r="W458" s="10">
        <f t="shared" si="440"/>
        <v>0</v>
      </c>
      <c r="X458" s="10">
        <f t="shared" si="440"/>
        <v>0</v>
      </c>
      <c r="Y458" s="10">
        <f t="shared" si="440"/>
        <v>0</v>
      </c>
      <c r="Z458" s="10">
        <f t="shared" si="440"/>
        <v>0</v>
      </c>
      <c r="AA458" s="10">
        <f t="shared" si="440"/>
        <v>0</v>
      </c>
      <c r="AB458" s="10">
        <f t="shared" si="440"/>
        <v>0</v>
      </c>
      <c r="AC458" s="10">
        <f t="shared" si="440"/>
        <v>0</v>
      </c>
      <c r="AD458" s="10">
        <f t="shared" si="440"/>
        <v>0</v>
      </c>
      <c r="AE458" s="10">
        <f t="shared" si="440"/>
        <v>0</v>
      </c>
      <c r="AF458" s="10">
        <f t="shared" si="440"/>
        <v>0</v>
      </c>
      <c r="AG458" s="10">
        <f t="shared" si="440"/>
        <v>0</v>
      </c>
      <c r="AH458" s="10">
        <f t="shared" si="440"/>
        <v>0</v>
      </c>
      <c r="AI458" s="10">
        <f t="shared" si="440"/>
        <v>0</v>
      </c>
      <c r="AJ458" s="10">
        <f t="shared" si="440"/>
        <v>0</v>
      </c>
      <c r="AK458" s="10">
        <f t="shared" si="440"/>
        <v>0</v>
      </c>
      <c r="AL458" s="10">
        <f t="shared" si="440"/>
        <v>0</v>
      </c>
      <c r="AM458" s="46">
        <f t="shared" si="440"/>
        <v>0</v>
      </c>
      <c r="AN458" s="10">
        <f t="shared" si="440"/>
        <v>0</v>
      </c>
      <c r="AO458" s="10">
        <f t="shared" si="440"/>
        <v>0</v>
      </c>
      <c r="AP458" s="10">
        <f t="shared" si="440"/>
        <v>0</v>
      </c>
      <c r="AQ458" s="10">
        <f t="shared" si="440"/>
        <v>0</v>
      </c>
      <c r="AR458" s="10">
        <f t="shared" si="440"/>
        <v>0</v>
      </c>
      <c r="AS458" s="10">
        <f t="shared" si="440"/>
        <v>0</v>
      </c>
      <c r="AT458" s="10">
        <f t="shared" si="440"/>
        <v>0</v>
      </c>
      <c r="AU458" s="10">
        <f t="shared" si="440"/>
        <v>0</v>
      </c>
      <c r="AV458" s="10">
        <f t="shared" si="440"/>
        <v>0</v>
      </c>
      <c r="AW458" s="10">
        <f t="shared" si="440"/>
        <v>0</v>
      </c>
      <c r="AX458" s="10">
        <f t="shared" si="440"/>
        <v>0</v>
      </c>
    </row>
    <row r="459" spans="1:50" x14ac:dyDescent="0.2">
      <c r="A459" s="48"/>
      <c r="B459" s="53" t="s">
        <v>45</v>
      </c>
      <c r="C459" s="113"/>
      <c r="D459" s="24"/>
      <c r="E459" s="24"/>
      <c r="F459" s="10">
        <f t="shared" ref="F459:AX459" si="441">F303</f>
        <v>1032550</v>
      </c>
      <c r="G459" s="10">
        <f t="shared" si="441"/>
        <v>523179</v>
      </c>
      <c r="H459" s="10">
        <f t="shared" si="441"/>
        <v>1.9736075033592708</v>
      </c>
      <c r="I459" s="10">
        <f t="shared" si="441"/>
        <v>622338.20000000007</v>
      </c>
      <c r="J459" s="10">
        <f t="shared" si="441"/>
        <v>618.5</v>
      </c>
      <c r="K459" s="10">
        <f t="shared" si="441"/>
        <v>25997.05</v>
      </c>
      <c r="L459" s="10">
        <f t="shared" si="441"/>
        <v>0</v>
      </c>
      <c r="M459" s="10">
        <f t="shared" si="441"/>
        <v>400906</v>
      </c>
      <c r="N459" s="10">
        <f t="shared" si="441"/>
        <v>350793</v>
      </c>
      <c r="O459" s="10">
        <f t="shared" si="441"/>
        <v>73018</v>
      </c>
      <c r="P459" s="10">
        <f t="shared" si="441"/>
        <v>183372</v>
      </c>
      <c r="Q459" s="10">
        <f t="shared" si="441"/>
        <v>248996</v>
      </c>
      <c r="R459" s="10">
        <f t="shared" si="441"/>
        <v>0</v>
      </c>
      <c r="S459" s="10">
        <f t="shared" si="441"/>
        <v>0</v>
      </c>
      <c r="T459" s="10">
        <f t="shared" si="441"/>
        <v>0</v>
      </c>
      <c r="U459" s="10">
        <f t="shared" si="441"/>
        <v>0</v>
      </c>
      <c r="V459" s="10">
        <f t="shared" si="441"/>
        <v>0</v>
      </c>
      <c r="W459" s="10">
        <f t="shared" si="441"/>
        <v>0</v>
      </c>
      <c r="X459" s="10">
        <f t="shared" si="441"/>
        <v>0</v>
      </c>
      <c r="Y459" s="10">
        <f t="shared" si="441"/>
        <v>0</v>
      </c>
      <c r="Z459" s="10">
        <f t="shared" si="441"/>
        <v>0</v>
      </c>
      <c r="AA459" s="10">
        <f t="shared" si="441"/>
        <v>0</v>
      </c>
      <c r="AB459" s="10">
        <f t="shared" si="441"/>
        <v>0</v>
      </c>
      <c r="AC459" s="10">
        <f t="shared" si="441"/>
        <v>0</v>
      </c>
      <c r="AD459" s="10">
        <f t="shared" si="441"/>
        <v>0</v>
      </c>
      <c r="AE459" s="10">
        <f t="shared" si="441"/>
        <v>0</v>
      </c>
      <c r="AF459" s="10">
        <f t="shared" si="441"/>
        <v>0</v>
      </c>
      <c r="AG459" s="10">
        <f t="shared" si="441"/>
        <v>0</v>
      </c>
      <c r="AH459" s="10">
        <f t="shared" si="441"/>
        <v>0</v>
      </c>
      <c r="AI459" s="10">
        <f t="shared" si="441"/>
        <v>0</v>
      </c>
      <c r="AJ459" s="10">
        <f t="shared" si="441"/>
        <v>0</v>
      </c>
      <c r="AK459" s="10">
        <f t="shared" si="441"/>
        <v>0</v>
      </c>
      <c r="AL459" s="10">
        <f t="shared" si="441"/>
        <v>0</v>
      </c>
      <c r="AM459" s="46">
        <f t="shared" si="441"/>
        <v>0</v>
      </c>
      <c r="AN459" s="10">
        <f t="shared" si="441"/>
        <v>0</v>
      </c>
      <c r="AO459" s="10">
        <f t="shared" si="441"/>
        <v>0</v>
      </c>
      <c r="AP459" s="10">
        <f t="shared" si="441"/>
        <v>0</v>
      </c>
      <c r="AQ459" s="10">
        <f t="shared" si="441"/>
        <v>0</v>
      </c>
      <c r="AR459" s="10">
        <f t="shared" si="441"/>
        <v>0</v>
      </c>
      <c r="AS459" s="10">
        <f t="shared" si="441"/>
        <v>0</v>
      </c>
      <c r="AT459" s="10">
        <f t="shared" si="441"/>
        <v>0</v>
      </c>
      <c r="AU459" s="10">
        <f t="shared" si="441"/>
        <v>0</v>
      </c>
      <c r="AV459" s="10">
        <f t="shared" si="441"/>
        <v>0</v>
      </c>
      <c r="AW459" s="10">
        <f t="shared" si="441"/>
        <v>0</v>
      </c>
      <c r="AX459" s="10">
        <f t="shared" si="441"/>
        <v>0</v>
      </c>
    </row>
    <row r="460" spans="1:50" x14ac:dyDescent="0.2">
      <c r="A460" s="48"/>
      <c r="B460" s="91" t="s">
        <v>28</v>
      </c>
      <c r="C460" s="113"/>
      <c r="D460" s="24"/>
      <c r="E460" s="24"/>
      <c r="F460" s="10">
        <f>F398</f>
        <v>1857281</v>
      </c>
      <c r="G460" s="10">
        <f t="shared" ref="G460:AX460" si="442">G398</f>
        <v>902435</v>
      </c>
      <c r="H460" s="10">
        <f t="shared" si="442"/>
        <v>2.0580773130474772</v>
      </c>
      <c r="I460" s="10">
        <f t="shared" si="442"/>
        <v>687052.20000000019</v>
      </c>
      <c r="J460" s="10">
        <f t="shared" si="442"/>
        <v>1120.4999999999995</v>
      </c>
      <c r="K460" s="10">
        <f t="shared" si="442"/>
        <v>35275.050000000003</v>
      </c>
      <c r="L460" s="10">
        <f t="shared" si="442"/>
        <v>0</v>
      </c>
      <c r="M460" s="10">
        <f t="shared" si="442"/>
        <v>726185.01</v>
      </c>
      <c r="N460" s="10">
        <f t="shared" si="442"/>
        <v>667045</v>
      </c>
      <c r="O460" s="10">
        <f t="shared" si="442"/>
        <v>168133</v>
      </c>
      <c r="P460" s="10">
        <f t="shared" si="442"/>
        <v>356992</v>
      </c>
      <c r="Q460" s="10">
        <f t="shared" si="442"/>
        <v>559919</v>
      </c>
      <c r="R460" s="10">
        <f t="shared" si="442"/>
        <v>0</v>
      </c>
      <c r="S460" s="10">
        <f t="shared" si="442"/>
        <v>0</v>
      </c>
      <c r="T460" s="10">
        <f t="shared" si="442"/>
        <v>0</v>
      </c>
      <c r="U460" s="10">
        <f t="shared" si="442"/>
        <v>0</v>
      </c>
      <c r="V460" s="10">
        <f t="shared" si="442"/>
        <v>0</v>
      </c>
      <c r="W460" s="10">
        <f t="shared" si="442"/>
        <v>0</v>
      </c>
      <c r="X460" s="10">
        <f t="shared" si="442"/>
        <v>0</v>
      </c>
      <c r="Y460" s="10">
        <f t="shared" si="442"/>
        <v>0</v>
      </c>
      <c r="Z460" s="10">
        <f t="shared" si="442"/>
        <v>0</v>
      </c>
      <c r="AA460" s="10">
        <f t="shared" si="442"/>
        <v>0</v>
      </c>
      <c r="AB460" s="10">
        <f t="shared" si="442"/>
        <v>0</v>
      </c>
      <c r="AC460" s="10">
        <f t="shared" si="442"/>
        <v>0</v>
      </c>
      <c r="AD460" s="10">
        <f t="shared" si="442"/>
        <v>0</v>
      </c>
      <c r="AE460" s="10">
        <f t="shared" si="442"/>
        <v>0</v>
      </c>
      <c r="AF460" s="10">
        <f t="shared" si="442"/>
        <v>0</v>
      </c>
      <c r="AG460" s="10">
        <f t="shared" si="442"/>
        <v>0</v>
      </c>
      <c r="AH460" s="10">
        <f t="shared" si="442"/>
        <v>0</v>
      </c>
      <c r="AI460" s="10">
        <f t="shared" si="442"/>
        <v>0</v>
      </c>
      <c r="AJ460" s="10">
        <f t="shared" si="442"/>
        <v>0</v>
      </c>
      <c r="AK460" s="10">
        <f t="shared" si="442"/>
        <v>0</v>
      </c>
      <c r="AL460" s="10">
        <f t="shared" si="442"/>
        <v>0</v>
      </c>
      <c r="AM460" s="46">
        <f t="shared" si="442"/>
        <v>0</v>
      </c>
      <c r="AN460" s="10">
        <f t="shared" si="442"/>
        <v>0</v>
      </c>
      <c r="AO460" s="10">
        <f t="shared" si="442"/>
        <v>0</v>
      </c>
      <c r="AP460" s="10">
        <f t="shared" si="442"/>
        <v>0</v>
      </c>
      <c r="AQ460" s="10">
        <f t="shared" si="442"/>
        <v>0</v>
      </c>
      <c r="AR460" s="10">
        <f t="shared" si="442"/>
        <v>0</v>
      </c>
      <c r="AS460" s="10">
        <f t="shared" si="442"/>
        <v>0</v>
      </c>
      <c r="AT460" s="10">
        <f t="shared" si="442"/>
        <v>0</v>
      </c>
      <c r="AU460" s="10">
        <f t="shared" si="442"/>
        <v>0</v>
      </c>
      <c r="AV460" s="10">
        <f t="shared" si="442"/>
        <v>0</v>
      </c>
      <c r="AW460" s="10">
        <f t="shared" si="442"/>
        <v>0</v>
      </c>
      <c r="AX460" s="10">
        <f t="shared" si="442"/>
        <v>0</v>
      </c>
    </row>
    <row r="461" spans="1:50" x14ac:dyDescent="0.2">
      <c r="A461" s="48"/>
      <c r="B461" s="91" t="s">
        <v>46</v>
      </c>
      <c r="C461" s="113"/>
      <c r="D461" s="24"/>
      <c r="E461" s="24"/>
      <c r="F461" s="10">
        <f>F450</f>
        <v>6309290</v>
      </c>
      <c r="G461" s="10">
        <f t="shared" ref="G461:AX461" si="443">G450</f>
        <v>2463895</v>
      </c>
      <c r="H461" s="10">
        <f t="shared" si="443"/>
        <v>2.56069759466211</v>
      </c>
      <c r="I461" s="10">
        <f t="shared" si="443"/>
        <v>20544.199999999997</v>
      </c>
      <c r="J461" s="10">
        <f t="shared" si="443"/>
        <v>100863.09999999996</v>
      </c>
      <c r="K461" s="10">
        <f t="shared" si="443"/>
        <v>20724.759999999995</v>
      </c>
      <c r="L461" s="10">
        <f t="shared" si="443"/>
        <v>0</v>
      </c>
      <c r="M461" s="10">
        <f t="shared" si="443"/>
        <v>2215068</v>
      </c>
      <c r="N461" s="10">
        <f t="shared" si="443"/>
        <v>2173112</v>
      </c>
      <c r="O461" s="10">
        <f t="shared" si="443"/>
        <v>1332182</v>
      </c>
      <c r="P461" s="10">
        <f t="shared" si="443"/>
        <v>326579</v>
      </c>
      <c r="Q461" s="10">
        <f t="shared" si="443"/>
        <v>2435417</v>
      </c>
      <c r="R461" s="10">
        <f t="shared" si="443"/>
        <v>0</v>
      </c>
      <c r="S461" s="10">
        <f t="shared" si="443"/>
        <v>0</v>
      </c>
      <c r="T461" s="10">
        <f t="shared" si="443"/>
        <v>0</v>
      </c>
      <c r="U461" s="10">
        <f t="shared" si="443"/>
        <v>0</v>
      </c>
      <c r="V461" s="10">
        <f t="shared" si="443"/>
        <v>0</v>
      </c>
      <c r="W461" s="10">
        <f t="shared" si="443"/>
        <v>0</v>
      </c>
      <c r="X461" s="10">
        <f t="shared" si="443"/>
        <v>0</v>
      </c>
      <c r="Y461" s="10">
        <f t="shared" si="443"/>
        <v>0</v>
      </c>
      <c r="Z461" s="10">
        <f t="shared" si="443"/>
        <v>0</v>
      </c>
      <c r="AA461" s="10">
        <f t="shared" si="443"/>
        <v>0</v>
      </c>
      <c r="AB461" s="10">
        <f t="shared" si="443"/>
        <v>0</v>
      </c>
      <c r="AC461" s="10">
        <f t="shared" si="443"/>
        <v>0</v>
      </c>
      <c r="AD461" s="10">
        <f t="shared" si="443"/>
        <v>0</v>
      </c>
      <c r="AE461" s="10">
        <f t="shared" si="443"/>
        <v>0</v>
      </c>
      <c r="AF461" s="10">
        <f t="shared" si="443"/>
        <v>0</v>
      </c>
      <c r="AG461" s="10">
        <f t="shared" si="443"/>
        <v>0</v>
      </c>
      <c r="AH461" s="10">
        <f t="shared" si="443"/>
        <v>0</v>
      </c>
      <c r="AI461" s="10">
        <f t="shared" si="443"/>
        <v>0</v>
      </c>
      <c r="AJ461" s="10">
        <f t="shared" si="443"/>
        <v>0</v>
      </c>
      <c r="AK461" s="10">
        <f t="shared" si="443"/>
        <v>0</v>
      </c>
      <c r="AL461" s="10">
        <f t="shared" si="443"/>
        <v>0</v>
      </c>
      <c r="AM461" s="46">
        <f t="shared" si="443"/>
        <v>0</v>
      </c>
      <c r="AN461" s="10">
        <f t="shared" si="443"/>
        <v>0</v>
      </c>
      <c r="AO461" s="10">
        <f t="shared" si="443"/>
        <v>0</v>
      </c>
      <c r="AP461" s="10">
        <f t="shared" si="443"/>
        <v>0</v>
      </c>
      <c r="AQ461" s="10">
        <f t="shared" si="443"/>
        <v>0</v>
      </c>
      <c r="AR461" s="10">
        <f t="shared" si="443"/>
        <v>0</v>
      </c>
      <c r="AS461" s="10">
        <f t="shared" si="443"/>
        <v>0</v>
      </c>
      <c r="AT461" s="10">
        <f t="shared" si="443"/>
        <v>0</v>
      </c>
      <c r="AU461" s="10">
        <f t="shared" si="443"/>
        <v>0</v>
      </c>
      <c r="AV461" s="10">
        <f t="shared" si="443"/>
        <v>0</v>
      </c>
      <c r="AW461" s="10">
        <f t="shared" si="443"/>
        <v>0</v>
      </c>
      <c r="AX461" s="10">
        <f t="shared" si="443"/>
        <v>0</v>
      </c>
    </row>
    <row r="462" spans="1:50" x14ac:dyDescent="0.2">
      <c r="A462" s="48"/>
      <c r="B462" s="91"/>
      <c r="C462" s="113"/>
      <c r="D462" s="24"/>
      <c r="E462" s="24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</row>
    <row r="463" spans="1:50" x14ac:dyDescent="0.2">
      <c r="A463" s="48"/>
      <c r="B463" s="91"/>
      <c r="C463" s="113"/>
      <c r="D463" s="24"/>
      <c r="E463" s="24"/>
      <c r="F463" s="19">
        <f>F456-F472</f>
        <v>0</v>
      </c>
      <c r="G463" s="19">
        <f t="shared" ref="G463:AX466" si="444">G456-G472</f>
        <v>0</v>
      </c>
      <c r="H463" s="19">
        <f t="shared" si="444"/>
        <v>0</v>
      </c>
      <c r="I463" s="19">
        <f t="shared" si="444"/>
        <v>0</v>
      </c>
      <c r="J463" s="19">
        <f t="shared" si="444"/>
        <v>0</v>
      </c>
      <c r="K463" s="19">
        <f t="shared" si="444"/>
        <v>0</v>
      </c>
      <c r="L463" s="19">
        <f t="shared" si="444"/>
        <v>0</v>
      </c>
      <c r="M463" s="19">
        <f t="shared" si="444"/>
        <v>0</v>
      </c>
      <c r="N463" s="19">
        <f t="shared" si="444"/>
        <v>0</v>
      </c>
      <c r="O463" s="19">
        <f t="shared" si="444"/>
        <v>0</v>
      </c>
      <c r="P463" s="19">
        <f t="shared" si="444"/>
        <v>0</v>
      </c>
      <c r="Q463" s="19">
        <f t="shared" si="444"/>
        <v>0</v>
      </c>
      <c r="R463" s="19">
        <f t="shared" si="444"/>
        <v>0</v>
      </c>
      <c r="S463" s="19">
        <f t="shared" si="444"/>
        <v>0</v>
      </c>
      <c r="T463" s="19">
        <f t="shared" si="444"/>
        <v>0</v>
      </c>
      <c r="U463" s="19">
        <f t="shared" si="444"/>
        <v>0</v>
      </c>
      <c r="V463" s="19">
        <f t="shared" si="444"/>
        <v>0</v>
      </c>
      <c r="W463" s="19">
        <f t="shared" si="444"/>
        <v>0</v>
      </c>
      <c r="X463" s="19">
        <f t="shared" si="444"/>
        <v>0</v>
      </c>
      <c r="Y463" s="19">
        <f t="shared" si="444"/>
        <v>0</v>
      </c>
      <c r="Z463" s="19">
        <f t="shared" si="444"/>
        <v>0</v>
      </c>
      <c r="AA463" s="19">
        <f t="shared" si="444"/>
        <v>0</v>
      </c>
      <c r="AB463" s="19">
        <f t="shared" si="444"/>
        <v>0</v>
      </c>
      <c r="AC463" s="19">
        <f t="shared" si="444"/>
        <v>0</v>
      </c>
      <c r="AD463" s="19">
        <f t="shared" si="444"/>
        <v>0</v>
      </c>
      <c r="AE463" s="19">
        <f t="shared" si="444"/>
        <v>0</v>
      </c>
      <c r="AF463" s="19">
        <f t="shared" si="444"/>
        <v>0</v>
      </c>
      <c r="AG463" s="19">
        <f t="shared" si="444"/>
        <v>0</v>
      </c>
      <c r="AH463" s="19">
        <f t="shared" si="444"/>
        <v>0</v>
      </c>
      <c r="AI463" s="19">
        <f t="shared" si="444"/>
        <v>0</v>
      </c>
      <c r="AJ463" s="19">
        <f t="shared" si="444"/>
        <v>0</v>
      </c>
      <c r="AK463" s="19">
        <f t="shared" si="444"/>
        <v>0</v>
      </c>
      <c r="AL463" s="19">
        <f t="shared" si="444"/>
        <v>0</v>
      </c>
      <c r="AM463" s="19">
        <f t="shared" si="444"/>
        <v>0</v>
      </c>
      <c r="AN463" s="19">
        <f t="shared" si="444"/>
        <v>0</v>
      </c>
      <c r="AO463" s="19">
        <f t="shared" si="444"/>
        <v>0</v>
      </c>
      <c r="AP463" s="19">
        <f t="shared" si="444"/>
        <v>0</v>
      </c>
      <c r="AQ463" s="19">
        <f t="shared" si="444"/>
        <v>0</v>
      </c>
      <c r="AR463" s="19">
        <f t="shared" si="444"/>
        <v>0</v>
      </c>
      <c r="AS463" s="19">
        <f t="shared" si="444"/>
        <v>0</v>
      </c>
      <c r="AT463" s="19">
        <f t="shared" si="444"/>
        <v>0</v>
      </c>
      <c r="AU463" s="19">
        <f t="shared" si="444"/>
        <v>0</v>
      </c>
      <c r="AV463" s="19">
        <f t="shared" si="444"/>
        <v>0</v>
      </c>
      <c r="AW463" s="19">
        <f t="shared" si="444"/>
        <v>0</v>
      </c>
      <c r="AX463" s="19">
        <f t="shared" si="444"/>
        <v>0</v>
      </c>
    </row>
    <row r="464" spans="1:50" x14ac:dyDescent="0.2">
      <c r="A464" s="48"/>
      <c r="B464" s="91"/>
      <c r="C464" s="113"/>
      <c r="D464" s="24"/>
      <c r="E464" s="24"/>
      <c r="F464" s="19">
        <f t="shared" ref="F464:F466" si="445">F457-F473</f>
        <v>0</v>
      </c>
      <c r="G464" s="19">
        <f t="shared" si="444"/>
        <v>0</v>
      </c>
      <c r="H464" s="19">
        <f t="shared" si="444"/>
        <v>0</v>
      </c>
      <c r="I464" s="19">
        <f t="shared" si="444"/>
        <v>0</v>
      </c>
      <c r="J464" s="19">
        <f t="shared" si="444"/>
        <v>0</v>
      </c>
      <c r="K464" s="19">
        <f t="shared" si="444"/>
        <v>0</v>
      </c>
      <c r="L464" s="19">
        <f t="shared" si="444"/>
        <v>0</v>
      </c>
      <c r="M464" s="19">
        <f t="shared" si="444"/>
        <v>0</v>
      </c>
      <c r="N464" s="19">
        <f t="shared" si="444"/>
        <v>0</v>
      </c>
      <c r="O464" s="19">
        <f t="shared" si="444"/>
        <v>0</v>
      </c>
      <c r="P464" s="19">
        <f t="shared" si="444"/>
        <v>0</v>
      </c>
      <c r="Q464" s="19">
        <f t="shared" si="444"/>
        <v>0</v>
      </c>
      <c r="R464" s="19">
        <f t="shared" si="444"/>
        <v>0</v>
      </c>
      <c r="S464" s="19">
        <f t="shared" si="444"/>
        <v>0</v>
      </c>
      <c r="T464" s="19">
        <f t="shared" si="444"/>
        <v>0</v>
      </c>
      <c r="U464" s="19">
        <f t="shared" si="444"/>
        <v>0</v>
      </c>
      <c r="V464" s="19">
        <f t="shared" si="444"/>
        <v>0</v>
      </c>
      <c r="W464" s="19">
        <f t="shared" si="444"/>
        <v>0</v>
      </c>
      <c r="X464" s="19">
        <f t="shared" si="444"/>
        <v>0</v>
      </c>
      <c r="Y464" s="19">
        <f t="shared" si="444"/>
        <v>0</v>
      </c>
      <c r="Z464" s="19">
        <f t="shared" si="444"/>
        <v>0</v>
      </c>
      <c r="AA464" s="19">
        <f t="shared" si="444"/>
        <v>0</v>
      </c>
      <c r="AB464" s="19">
        <f t="shared" si="444"/>
        <v>0</v>
      </c>
      <c r="AC464" s="19">
        <f t="shared" si="444"/>
        <v>0</v>
      </c>
      <c r="AD464" s="19">
        <f t="shared" si="444"/>
        <v>0</v>
      </c>
      <c r="AE464" s="19">
        <f t="shared" si="444"/>
        <v>0</v>
      </c>
      <c r="AF464" s="19">
        <f t="shared" si="444"/>
        <v>0</v>
      </c>
      <c r="AG464" s="19">
        <f t="shared" si="444"/>
        <v>0</v>
      </c>
      <c r="AH464" s="19">
        <f t="shared" si="444"/>
        <v>0</v>
      </c>
      <c r="AI464" s="19">
        <f t="shared" si="444"/>
        <v>0</v>
      </c>
      <c r="AJ464" s="19">
        <f t="shared" si="444"/>
        <v>0</v>
      </c>
      <c r="AK464" s="19">
        <f t="shared" si="444"/>
        <v>0</v>
      </c>
      <c r="AL464" s="19">
        <f t="shared" si="444"/>
        <v>0</v>
      </c>
      <c r="AM464" s="19">
        <f t="shared" si="444"/>
        <v>0</v>
      </c>
      <c r="AN464" s="19">
        <f t="shared" si="444"/>
        <v>0</v>
      </c>
      <c r="AO464" s="19">
        <f t="shared" si="444"/>
        <v>0</v>
      </c>
      <c r="AP464" s="19">
        <f t="shared" si="444"/>
        <v>0</v>
      </c>
      <c r="AQ464" s="19">
        <f t="shared" si="444"/>
        <v>0</v>
      </c>
      <c r="AR464" s="19">
        <f t="shared" si="444"/>
        <v>0</v>
      </c>
      <c r="AS464" s="19">
        <f t="shared" si="444"/>
        <v>0</v>
      </c>
      <c r="AT464" s="19">
        <f t="shared" si="444"/>
        <v>0</v>
      </c>
      <c r="AU464" s="19">
        <f t="shared" si="444"/>
        <v>0</v>
      </c>
      <c r="AV464" s="19">
        <f t="shared" si="444"/>
        <v>0</v>
      </c>
      <c r="AW464" s="19">
        <f t="shared" si="444"/>
        <v>0</v>
      </c>
      <c r="AX464" s="19">
        <f t="shared" si="444"/>
        <v>0</v>
      </c>
    </row>
    <row r="465" spans="1:50" x14ac:dyDescent="0.2">
      <c r="A465" s="48"/>
      <c r="B465" s="2"/>
      <c r="D465" s="24"/>
      <c r="E465" s="24"/>
      <c r="F465" s="19">
        <f t="shared" si="445"/>
        <v>0</v>
      </c>
      <c r="G465" s="19">
        <f t="shared" si="444"/>
        <v>0</v>
      </c>
      <c r="H465" s="19">
        <f t="shared" si="444"/>
        <v>0</v>
      </c>
      <c r="I465" s="19">
        <f t="shared" si="444"/>
        <v>0</v>
      </c>
      <c r="J465" s="19">
        <f t="shared" si="444"/>
        <v>0</v>
      </c>
      <c r="K465" s="19">
        <f t="shared" si="444"/>
        <v>0</v>
      </c>
      <c r="L465" s="19">
        <f t="shared" si="444"/>
        <v>0</v>
      </c>
      <c r="M465" s="19">
        <f t="shared" si="444"/>
        <v>0</v>
      </c>
      <c r="N465" s="19">
        <f t="shared" si="444"/>
        <v>0</v>
      </c>
      <c r="O465" s="19">
        <f t="shared" si="444"/>
        <v>0</v>
      </c>
      <c r="P465" s="19">
        <f t="shared" si="444"/>
        <v>0</v>
      </c>
      <c r="Q465" s="19">
        <f t="shared" si="444"/>
        <v>0</v>
      </c>
      <c r="R465" s="19">
        <f t="shared" si="444"/>
        <v>0</v>
      </c>
      <c r="S465" s="19">
        <f t="shared" si="444"/>
        <v>0</v>
      </c>
      <c r="T465" s="19">
        <f t="shared" si="444"/>
        <v>0</v>
      </c>
      <c r="U465" s="19">
        <f t="shared" si="444"/>
        <v>0</v>
      </c>
      <c r="V465" s="19">
        <f t="shared" si="444"/>
        <v>0</v>
      </c>
      <c r="W465" s="19">
        <f t="shared" si="444"/>
        <v>0</v>
      </c>
      <c r="X465" s="19">
        <f t="shared" si="444"/>
        <v>0</v>
      </c>
      <c r="Y465" s="19">
        <f t="shared" si="444"/>
        <v>0</v>
      </c>
      <c r="Z465" s="19">
        <f t="shared" si="444"/>
        <v>0</v>
      </c>
      <c r="AA465" s="19">
        <f t="shared" si="444"/>
        <v>0</v>
      </c>
      <c r="AB465" s="19">
        <f t="shared" si="444"/>
        <v>0</v>
      </c>
      <c r="AC465" s="19">
        <f t="shared" si="444"/>
        <v>0</v>
      </c>
      <c r="AD465" s="19">
        <f t="shared" si="444"/>
        <v>0</v>
      </c>
      <c r="AE465" s="19">
        <f t="shared" si="444"/>
        <v>0</v>
      </c>
      <c r="AF465" s="19">
        <f t="shared" si="444"/>
        <v>0</v>
      </c>
      <c r="AG465" s="19">
        <f t="shared" si="444"/>
        <v>0</v>
      </c>
      <c r="AH465" s="19">
        <f t="shared" si="444"/>
        <v>0</v>
      </c>
      <c r="AI465" s="19">
        <f t="shared" si="444"/>
        <v>0</v>
      </c>
      <c r="AJ465" s="19">
        <f t="shared" si="444"/>
        <v>0</v>
      </c>
      <c r="AK465" s="19">
        <f t="shared" si="444"/>
        <v>0</v>
      </c>
      <c r="AL465" s="19">
        <f t="shared" si="444"/>
        <v>0</v>
      </c>
      <c r="AM465" s="19">
        <f t="shared" si="444"/>
        <v>0</v>
      </c>
      <c r="AN465" s="19">
        <f t="shared" si="444"/>
        <v>0</v>
      </c>
      <c r="AO465" s="19">
        <f t="shared" si="444"/>
        <v>0</v>
      </c>
      <c r="AP465" s="19">
        <f t="shared" si="444"/>
        <v>0</v>
      </c>
      <c r="AQ465" s="19">
        <f t="shared" si="444"/>
        <v>0</v>
      </c>
      <c r="AR465" s="19">
        <f t="shared" si="444"/>
        <v>0</v>
      </c>
      <c r="AS465" s="19">
        <f t="shared" si="444"/>
        <v>0</v>
      </c>
      <c r="AT465" s="19">
        <f t="shared" si="444"/>
        <v>0</v>
      </c>
      <c r="AU465" s="19">
        <f t="shared" si="444"/>
        <v>0</v>
      </c>
      <c r="AV465" s="19">
        <f t="shared" si="444"/>
        <v>0</v>
      </c>
      <c r="AW465" s="19">
        <f t="shared" si="444"/>
        <v>0</v>
      </c>
      <c r="AX465" s="19">
        <f t="shared" si="444"/>
        <v>0</v>
      </c>
    </row>
    <row r="466" spans="1:50" x14ac:dyDescent="0.2">
      <c r="A466" s="48"/>
      <c r="B466" s="2"/>
      <c r="D466" s="24"/>
      <c r="E466" s="24"/>
      <c r="F466" s="19">
        <f t="shared" si="445"/>
        <v>0</v>
      </c>
      <c r="G466" s="19">
        <f t="shared" si="444"/>
        <v>0</v>
      </c>
      <c r="H466" s="19">
        <f t="shared" si="444"/>
        <v>0</v>
      </c>
      <c r="I466" s="19">
        <f t="shared" si="444"/>
        <v>0</v>
      </c>
      <c r="J466" s="19">
        <f t="shared" si="444"/>
        <v>0</v>
      </c>
      <c r="K466" s="19">
        <f t="shared" si="444"/>
        <v>0</v>
      </c>
      <c r="L466" s="19">
        <f t="shared" si="444"/>
        <v>0</v>
      </c>
      <c r="M466" s="19">
        <f t="shared" si="444"/>
        <v>0</v>
      </c>
      <c r="N466" s="19">
        <f t="shared" si="444"/>
        <v>0</v>
      </c>
      <c r="O466" s="19">
        <f t="shared" si="444"/>
        <v>0</v>
      </c>
      <c r="P466" s="19">
        <f t="shared" si="444"/>
        <v>0</v>
      </c>
      <c r="Q466" s="19">
        <f t="shared" si="444"/>
        <v>0</v>
      </c>
      <c r="R466" s="19">
        <f t="shared" si="444"/>
        <v>0</v>
      </c>
      <c r="S466" s="19">
        <f t="shared" si="444"/>
        <v>0</v>
      </c>
      <c r="T466" s="19">
        <f t="shared" si="444"/>
        <v>0</v>
      </c>
      <c r="U466" s="19">
        <f t="shared" si="444"/>
        <v>0</v>
      </c>
      <c r="V466" s="19">
        <f t="shared" si="444"/>
        <v>0</v>
      </c>
      <c r="W466" s="19">
        <f t="shared" si="444"/>
        <v>0</v>
      </c>
      <c r="X466" s="19">
        <f t="shared" si="444"/>
        <v>0</v>
      </c>
      <c r="Y466" s="19">
        <f t="shared" si="444"/>
        <v>0</v>
      </c>
      <c r="Z466" s="19">
        <f t="shared" si="444"/>
        <v>0</v>
      </c>
      <c r="AA466" s="19">
        <f t="shared" si="444"/>
        <v>0</v>
      </c>
      <c r="AB466" s="19">
        <f t="shared" si="444"/>
        <v>0</v>
      </c>
      <c r="AC466" s="19">
        <f t="shared" si="444"/>
        <v>0</v>
      </c>
      <c r="AD466" s="19">
        <f t="shared" si="444"/>
        <v>0</v>
      </c>
      <c r="AE466" s="19">
        <f t="shared" si="444"/>
        <v>0</v>
      </c>
      <c r="AF466" s="19">
        <f t="shared" si="444"/>
        <v>0</v>
      </c>
      <c r="AG466" s="19">
        <f t="shared" si="444"/>
        <v>0</v>
      </c>
      <c r="AH466" s="19">
        <f t="shared" si="444"/>
        <v>0</v>
      </c>
      <c r="AI466" s="19">
        <f t="shared" si="444"/>
        <v>0</v>
      </c>
      <c r="AJ466" s="19">
        <f t="shared" si="444"/>
        <v>0</v>
      </c>
      <c r="AK466" s="19">
        <f t="shared" si="444"/>
        <v>0</v>
      </c>
      <c r="AL466" s="19">
        <f t="shared" si="444"/>
        <v>0</v>
      </c>
      <c r="AM466" s="19">
        <f t="shared" si="444"/>
        <v>0</v>
      </c>
      <c r="AN466" s="19">
        <f t="shared" si="444"/>
        <v>0</v>
      </c>
      <c r="AO466" s="19">
        <f t="shared" si="444"/>
        <v>0</v>
      </c>
      <c r="AP466" s="19">
        <f t="shared" si="444"/>
        <v>0</v>
      </c>
      <c r="AQ466" s="19">
        <f t="shared" si="444"/>
        <v>0</v>
      </c>
      <c r="AR466" s="19">
        <f t="shared" si="444"/>
        <v>0</v>
      </c>
      <c r="AS466" s="19">
        <f t="shared" si="444"/>
        <v>0</v>
      </c>
      <c r="AT466" s="19">
        <f t="shared" si="444"/>
        <v>0</v>
      </c>
      <c r="AU466" s="19">
        <f t="shared" si="444"/>
        <v>0</v>
      </c>
      <c r="AV466" s="19">
        <f t="shared" si="444"/>
        <v>0</v>
      </c>
      <c r="AW466" s="19">
        <f t="shared" si="444"/>
        <v>0</v>
      </c>
      <c r="AX466" s="19">
        <f t="shared" si="444"/>
        <v>0</v>
      </c>
    </row>
    <row r="467" spans="1:50" s="21" customFormat="1" ht="15" customHeight="1" x14ac:dyDescent="0.2">
      <c r="A467" s="48"/>
      <c r="B467" s="2"/>
      <c r="C467" s="30"/>
      <c r="D467" s="24"/>
      <c r="E467" s="24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</row>
    <row r="468" spans="1:50" s="22" customFormat="1" ht="15" customHeight="1" x14ac:dyDescent="0.2">
      <c r="A468" s="92"/>
      <c r="B468" s="93" t="s">
        <v>8</v>
      </c>
      <c r="C468" s="94"/>
      <c r="D468" s="54">
        <f>SUM(D472:D475)</f>
        <v>128</v>
      </c>
      <c r="E468" s="95"/>
      <c r="F468" s="55">
        <f>SUM(F472:F475)</f>
        <v>8166571</v>
      </c>
      <c r="G468" s="55">
        <f t="shared" ref="G468:AX468" si="446">SUM(G472:G475)</f>
        <v>3366330</v>
      </c>
      <c r="H468" s="123">
        <f>F468/G468</f>
        <v>2.4259567540912506</v>
      </c>
      <c r="I468" s="55">
        <f t="shared" si="446"/>
        <v>707596.40000000014</v>
      </c>
      <c r="J468" s="55">
        <f t="shared" si="446"/>
        <v>101983.59999999998</v>
      </c>
      <c r="K468" s="55">
        <f t="shared" si="446"/>
        <v>55999.81</v>
      </c>
      <c r="L468" s="55">
        <f t="shared" si="446"/>
        <v>0</v>
      </c>
      <c r="M468" s="55">
        <f t="shared" si="446"/>
        <v>2941253.01</v>
      </c>
      <c r="N468" s="55">
        <f t="shared" si="446"/>
        <v>2840157</v>
      </c>
      <c r="O468" s="55">
        <f t="shared" si="446"/>
        <v>1500315</v>
      </c>
      <c r="P468" s="55">
        <f t="shared" si="446"/>
        <v>683571</v>
      </c>
      <c r="Q468" s="55">
        <f t="shared" si="446"/>
        <v>2995336</v>
      </c>
      <c r="R468" s="55">
        <f t="shared" si="446"/>
        <v>0</v>
      </c>
      <c r="S468" s="55">
        <f t="shared" si="446"/>
        <v>0</v>
      </c>
      <c r="T468" s="55">
        <f t="shared" si="446"/>
        <v>0</v>
      </c>
      <c r="U468" s="55">
        <f t="shared" si="446"/>
        <v>0</v>
      </c>
      <c r="V468" s="55">
        <f t="shared" si="446"/>
        <v>0</v>
      </c>
      <c r="W468" s="55">
        <f t="shared" si="446"/>
        <v>0</v>
      </c>
      <c r="X468" s="55">
        <f t="shared" si="446"/>
        <v>0</v>
      </c>
      <c r="Y468" s="55">
        <f t="shared" si="446"/>
        <v>0</v>
      </c>
      <c r="Z468" s="55">
        <f t="shared" si="446"/>
        <v>0</v>
      </c>
      <c r="AA468" s="55">
        <f t="shared" si="446"/>
        <v>0</v>
      </c>
      <c r="AB468" s="55">
        <f t="shared" si="446"/>
        <v>0</v>
      </c>
      <c r="AC468" s="55">
        <f t="shared" si="446"/>
        <v>0</v>
      </c>
      <c r="AD468" s="55">
        <f t="shared" si="446"/>
        <v>0</v>
      </c>
      <c r="AE468" s="55">
        <f t="shared" si="446"/>
        <v>0</v>
      </c>
      <c r="AF468" s="55">
        <f t="shared" si="446"/>
        <v>0</v>
      </c>
      <c r="AG468" s="55">
        <f t="shared" si="446"/>
        <v>0</v>
      </c>
      <c r="AH468" s="55">
        <f t="shared" si="446"/>
        <v>0</v>
      </c>
      <c r="AI468" s="55">
        <f t="shared" si="446"/>
        <v>0</v>
      </c>
      <c r="AJ468" s="55">
        <f t="shared" si="446"/>
        <v>0</v>
      </c>
      <c r="AK468" s="55">
        <f t="shared" si="446"/>
        <v>0</v>
      </c>
      <c r="AL468" s="55">
        <f t="shared" si="446"/>
        <v>0</v>
      </c>
      <c r="AM468" s="96">
        <f t="shared" si="446"/>
        <v>0</v>
      </c>
      <c r="AN468" s="55">
        <f t="shared" si="446"/>
        <v>0</v>
      </c>
      <c r="AO468" s="55">
        <f t="shared" si="446"/>
        <v>0</v>
      </c>
      <c r="AP468" s="55">
        <f t="shared" si="446"/>
        <v>0</v>
      </c>
      <c r="AQ468" s="55">
        <f t="shared" si="446"/>
        <v>0</v>
      </c>
      <c r="AR468" s="55">
        <f t="shared" si="446"/>
        <v>0</v>
      </c>
      <c r="AS468" s="55">
        <f t="shared" si="446"/>
        <v>0</v>
      </c>
      <c r="AT468" s="55">
        <f t="shared" si="446"/>
        <v>0</v>
      </c>
      <c r="AU468" s="55">
        <f t="shared" si="446"/>
        <v>0</v>
      </c>
      <c r="AV468" s="55">
        <f t="shared" si="446"/>
        <v>0</v>
      </c>
      <c r="AW468" s="55">
        <f t="shared" si="446"/>
        <v>0</v>
      </c>
      <c r="AX468" s="55">
        <f t="shared" si="446"/>
        <v>0</v>
      </c>
    </row>
    <row r="469" spans="1:50" s="22" customFormat="1" ht="15" customHeight="1" x14ac:dyDescent="0.2">
      <c r="A469" s="97"/>
      <c r="B469" s="97" t="s">
        <v>180</v>
      </c>
      <c r="C469" s="98"/>
      <c r="D469" s="56"/>
      <c r="E469" s="98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8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</row>
    <row r="470" spans="1:50" x14ac:dyDescent="0.2">
      <c r="A470" s="97"/>
      <c r="B470" s="97" t="s">
        <v>180</v>
      </c>
      <c r="C470" s="98"/>
      <c r="D470" s="56"/>
      <c r="E470" s="98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100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</row>
    <row r="471" spans="1:50" s="23" customFormat="1" x14ac:dyDescent="0.2">
      <c r="A471" s="84"/>
      <c r="B471" s="59" t="s">
        <v>8</v>
      </c>
      <c r="C471" s="113"/>
      <c r="D471" s="24"/>
      <c r="E471" s="5"/>
      <c r="F471" s="24">
        <f>SUM(F472:F475)</f>
        <v>8166571</v>
      </c>
      <c r="G471" s="24">
        <f>SUM(G472:G475)</f>
        <v>3366330</v>
      </c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19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</row>
    <row r="472" spans="1:50" s="23" customFormat="1" x14ac:dyDescent="0.2">
      <c r="A472" s="60"/>
      <c r="B472" s="59" t="s">
        <v>9</v>
      </c>
      <c r="C472" s="61"/>
      <c r="D472" s="62">
        <v>30</v>
      </c>
      <c r="E472" s="63"/>
      <c r="F472" s="64">
        <f t="shared" ref="F472:AX472" si="447">SUMIF($D$5:$D$132,"=S",F$5:F$132)</f>
        <v>4820381</v>
      </c>
      <c r="G472" s="64">
        <f t="shared" si="447"/>
        <v>1832610</v>
      </c>
      <c r="H472" s="120">
        <f>F472/G472</f>
        <v>2.6303365145884832</v>
      </c>
      <c r="I472" s="64">
        <f t="shared" si="447"/>
        <v>3692.3999999999996</v>
      </c>
      <c r="J472" s="64">
        <f t="shared" si="447"/>
        <v>98113.199999999983</v>
      </c>
      <c r="K472" s="64">
        <f t="shared" si="447"/>
        <v>14739.979999999998</v>
      </c>
      <c r="L472" s="64">
        <f t="shared" si="447"/>
        <v>0</v>
      </c>
      <c r="M472" s="64">
        <f t="shared" si="447"/>
        <v>1640326</v>
      </c>
      <c r="N472" s="64">
        <f t="shared" si="447"/>
        <v>1606743</v>
      </c>
      <c r="O472" s="64">
        <f t="shared" si="447"/>
        <v>1030543</v>
      </c>
      <c r="P472" s="64">
        <f t="shared" si="447"/>
        <v>152762</v>
      </c>
      <c r="Q472" s="64">
        <f t="shared" si="447"/>
        <v>1832610</v>
      </c>
      <c r="R472" s="64">
        <f t="shared" si="447"/>
        <v>0</v>
      </c>
      <c r="S472" s="64">
        <f t="shared" si="447"/>
        <v>0</v>
      </c>
      <c r="T472" s="64">
        <f t="shared" si="447"/>
        <v>0</v>
      </c>
      <c r="U472" s="64">
        <f t="shared" si="447"/>
        <v>0</v>
      </c>
      <c r="V472" s="64">
        <f t="shared" si="447"/>
        <v>0</v>
      </c>
      <c r="W472" s="64">
        <f t="shared" si="447"/>
        <v>0</v>
      </c>
      <c r="X472" s="64">
        <f t="shared" si="447"/>
        <v>0</v>
      </c>
      <c r="Y472" s="64">
        <f t="shared" si="447"/>
        <v>0</v>
      </c>
      <c r="Z472" s="64">
        <f t="shared" si="447"/>
        <v>0</v>
      </c>
      <c r="AA472" s="64">
        <f t="shared" si="447"/>
        <v>0</v>
      </c>
      <c r="AB472" s="64">
        <f t="shared" si="447"/>
        <v>0</v>
      </c>
      <c r="AC472" s="64">
        <f t="shared" si="447"/>
        <v>0</v>
      </c>
      <c r="AD472" s="64">
        <f t="shared" si="447"/>
        <v>0</v>
      </c>
      <c r="AE472" s="64">
        <f t="shared" si="447"/>
        <v>0</v>
      </c>
      <c r="AF472" s="64">
        <f t="shared" si="447"/>
        <v>0</v>
      </c>
      <c r="AG472" s="64">
        <f t="shared" si="447"/>
        <v>0</v>
      </c>
      <c r="AH472" s="64">
        <f t="shared" si="447"/>
        <v>0</v>
      </c>
      <c r="AI472" s="64">
        <f t="shared" si="447"/>
        <v>0</v>
      </c>
      <c r="AJ472" s="64">
        <f t="shared" si="447"/>
        <v>0</v>
      </c>
      <c r="AK472" s="64">
        <f t="shared" si="447"/>
        <v>0</v>
      </c>
      <c r="AL472" s="64">
        <f t="shared" si="447"/>
        <v>0</v>
      </c>
      <c r="AM472" s="65">
        <f t="shared" si="447"/>
        <v>0</v>
      </c>
      <c r="AN472" s="64">
        <f t="shared" si="447"/>
        <v>0</v>
      </c>
      <c r="AO472" s="64">
        <f t="shared" si="447"/>
        <v>0</v>
      </c>
      <c r="AP472" s="64">
        <f t="shared" si="447"/>
        <v>0</v>
      </c>
      <c r="AQ472" s="64">
        <f t="shared" si="447"/>
        <v>0</v>
      </c>
      <c r="AR472" s="64">
        <f t="shared" si="447"/>
        <v>0</v>
      </c>
      <c r="AS472" s="64">
        <f t="shared" si="447"/>
        <v>0</v>
      </c>
      <c r="AT472" s="64">
        <f t="shared" si="447"/>
        <v>0</v>
      </c>
      <c r="AU472" s="64">
        <f t="shared" si="447"/>
        <v>0</v>
      </c>
      <c r="AV472" s="64">
        <f t="shared" si="447"/>
        <v>0</v>
      </c>
      <c r="AW472" s="64">
        <f t="shared" si="447"/>
        <v>0</v>
      </c>
      <c r="AX472" s="64">
        <f t="shared" si="447"/>
        <v>0</v>
      </c>
    </row>
    <row r="473" spans="1:50" s="23" customFormat="1" x14ac:dyDescent="0.2">
      <c r="A473" s="60"/>
      <c r="B473" s="59" t="s">
        <v>10</v>
      </c>
      <c r="C473" s="61"/>
      <c r="D473" s="62">
        <v>12</v>
      </c>
      <c r="E473" s="63"/>
      <c r="F473" s="66">
        <f t="shared" ref="F473:AX473" si="448">SUMIF($D$5:$D$132,"=E",F$5:F$132)</f>
        <v>1488909</v>
      </c>
      <c r="G473" s="66">
        <f t="shared" si="448"/>
        <v>631285</v>
      </c>
      <c r="H473" s="121">
        <f t="shared" ref="H473:H477" si="449">F473/G473</f>
        <v>2.3585369524065993</v>
      </c>
      <c r="I473" s="66">
        <f t="shared" si="448"/>
        <v>16851.8</v>
      </c>
      <c r="J473" s="66">
        <f t="shared" si="448"/>
        <v>2749.9</v>
      </c>
      <c r="K473" s="66">
        <f t="shared" si="448"/>
        <v>5984.78</v>
      </c>
      <c r="L473" s="66">
        <f t="shared" si="448"/>
        <v>0</v>
      </c>
      <c r="M473" s="66">
        <f t="shared" si="448"/>
        <v>574742</v>
      </c>
      <c r="N473" s="66">
        <f t="shared" si="448"/>
        <v>566369</v>
      </c>
      <c r="O473" s="66">
        <f t="shared" si="448"/>
        <v>301639</v>
      </c>
      <c r="P473" s="66">
        <f t="shared" si="448"/>
        <v>173817</v>
      </c>
      <c r="Q473" s="66">
        <f t="shared" si="448"/>
        <v>602807</v>
      </c>
      <c r="R473" s="66">
        <f t="shared" si="448"/>
        <v>0</v>
      </c>
      <c r="S473" s="66">
        <f t="shared" si="448"/>
        <v>0</v>
      </c>
      <c r="T473" s="66">
        <f t="shared" si="448"/>
        <v>0</v>
      </c>
      <c r="U473" s="66">
        <f t="shared" si="448"/>
        <v>0</v>
      </c>
      <c r="V473" s="66">
        <f t="shared" si="448"/>
        <v>0</v>
      </c>
      <c r="W473" s="66">
        <f t="shared" si="448"/>
        <v>0</v>
      </c>
      <c r="X473" s="66">
        <f t="shared" si="448"/>
        <v>0</v>
      </c>
      <c r="Y473" s="66">
        <f t="shared" si="448"/>
        <v>0</v>
      </c>
      <c r="Z473" s="66">
        <f t="shared" si="448"/>
        <v>0</v>
      </c>
      <c r="AA473" s="66">
        <f t="shared" si="448"/>
        <v>0</v>
      </c>
      <c r="AB473" s="66">
        <f t="shared" si="448"/>
        <v>0</v>
      </c>
      <c r="AC473" s="66">
        <f t="shared" si="448"/>
        <v>0</v>
      </c>
      <c r="AD473" s="66">
        <f t="shared" si="448"/>
        <v>0</v>
      </c>
      <c r="AE473" s="66">
        <f t="shared" si="448"/>
        <v>0</v>
      </c>
      <c r="AF473" s="66">
        <f t="shared" si="448"/>
        <v>0</v>
      </c>
      <c r="AG473" s="66">
        <f t="shared" si="448"/>
        <v>0</v>
      </c>
      <c r="AH473" s="66">
        <f t="shared" si="448"/>
        <v>0</v>
      </c>
      <c r="AI473" s="66">
        <f t="shared" si="448"/>
        <v>0</v>
      </c>
      <c r="AJ473" s="66">
        <f t="shared" si="448"/>
        <v>0</v>
      </c>
      <c r="AK473" s="66">
        <f t="shared" si="448"/>
        <v>0</v>
      </c>
      <c r="AL473" s="66">
        <f t="shared" si="448"/>
        <v>0</v>
      </c>
      <c r="AM473" s="67">
        <f t="shared" si="448"/>
        <v>0</v>
      </c>
      <c r="AN473" s="66">
        <f t="shared" si="448"/>
        <v>0</v>
      </c>
      <c r="AO473" s="66">
        <f t="shared" si="448"/>
        <v>0</v>
      </c>
      <c r="AP473" s="66">
        <f t="shared" si="448"/>
        <v>0</v>
      </c>
      <c r="AQ473" s="66">
        <f t="shared" si="448"/>
        <v>0</v>
      </c>
      <c r="AR473" s="66">
        <f t="shared" si="448"/>
        <v>0</v>
      </c>
      <c r="AS473" s="66">
        <f t="shared" si="448"/>
        <v>0</v>
      </c>
      <c r="AT473" s="66">
        <f t="shared" si="448"/>
        <v>0</v>
      </c>
      <c r="AU473" s="66">
        <f t="shared" si="448"/>
        <v>0</v>
      </c>
      <c r="AV473" s="66">
        <f t="shared" si="448"/>
        <v>0</v>
      </c>
      <c r="AW473" s="66">
        <f t="shared" si="448"/>
        <v>0</v>
      </c>
      <c r="AX473" s="66">
        <f t="shared" si="448"/>
        <v>0</v>
      </c>
    </row>
    <row r="474" spans="1:50" s="23" customFormat="1" x14ac:dyDescent="0.2">
      <c r="A474" s="60"/>
      <c r="B474" s="53" t="s">
        <v>11</v>
      </c>
      <c r="C474" s="61"/>
      <c r="D474" s="62">
        <v>19</v>
      </c>
      <c r="E474" s="63"/>
      <c r="F474" s="64">
        <f t="shared" ref="F474:AX474" si="450">SUMIF($D$5:$D$132,"=R",F$5:F$132)</f>
        <v>824731</v>
      </c>
      <c r="G474" s="64">
        <f t="shared" si="450"/>
        <v>379256</v>
      </c>
      <c r="H474" s="120">
        <f t="shared" si="449"/>
        <v>2.1746023793954481</v>
      </c>
      <c r="I474" s="64">
        <f t="shared" si="450"/>
        <v>64714.000000000007</v>
      </c>
      <c r="J474" s="64">
        <f t="shared" si="450"/>
        <v>501.99999999999994</v>
      </c>
      <c r="K474" s="64">
        <f t="shared" si="450"/>
        <v>9277.9999999999982</v>
      </c>
      <c r="L474" s="64">
        <f t="shared" si="450"/>
        <v>0</v>
      </c>
      <c r="M474" s="64">
        <f t="shared" si="450"/>
        <v>325279.01</v>
      </c>
      <c r="N474" s="64">
        <f t="shared" si="450"/>
        <v>316252</v>
      </c>
      <c r="O474" s="64">
        <f t="shared" si="450"/>
        <v>95115</v>
      </c>
      <c r="P474" s="64">
        <f t="shared" si="450"/>
        <v>173620</v>
      </c>
      <c r="Q474" s="64">
        <f t="shared" si="450"/>
        <v>310923</v>
      </c>
      <c r="R474" s="64">
        <f t="shared" si="450"/>
        <v>0</v>
      </c>
      <c r="S474" s="64">
        <f t="shared" si="450"/>
        <v>0</v>
      </c>
      <c r="T474" s="64">
        <f t="shared" si="450"/>
        <v>0</v>
      </c>
      <c r="U474" s="64">
        <f t="shared" si="450"/>
        <v>0</v>
      </c>
      <c r="V474" s="64">
        <f t="shared" si="450"/>
        <v>0</v>
      </c>
      <c r="W474" s="64">
        <f t="shared" si="450"/>
        <v>0</v>
      </c>
      <c r="X474" s="64">
        <f t="shared" si="450"/>
        <v>0</v>
      </c>
      <c r="Y474" s="64">
        <f t="shared" si="450"/>
        <v>0</v>
      </c>
      <c r="Z474" s="64">
        <f t="shared" si="450"/>
        <v>0</v>
      </c>
      <c r="AA474" s="64">
        <f t="shared" si="450"/>
        <v>0</v>
      </c>
      <c r="AB474" s="64">
        <f t="shared" si="450"/>
        <v>0</v>
      </c>
      <c r="AC474" s="64">
        <f t="shared" si="450"/>
        <v>0</v>
      </c>
      <c r="AD474" s="64">
        <f t="shared" si="450"/>
        <v>0</v>
      </c>
      <c r="AE474" s="64">
        <f t="shared" si="450"/>
        <v>0</v>
      </c>
      <c r="AF474" s="64">
        <f t="shared" si="450"/>
        <v>0</v>
      </c>
      <c r="AG474" s="64">
        <f t="shared" si="450"/>
        <v>0</v>
      </c>
      <c r="AH474" s="64">
        <f t="shared" si="450"/>
        <v>0</v>
      </c>
      <c r="AI474" s="64">
        <f t="shared" si="450"/>
        <v>0</v>
      </c>
      <c r="AJ474" s="64">
        <f t="shared" si="450"/>
        <v>0</v>
      </c>
      <c r="AK474" s="64">
        <f t="shared" si="450"/>
        <v>0</v>
      </c>
      <c r="AL474" s="64">
        <f t="shared" si="450"/>
        <v>0</v>
      </c>
      <c r="AM474" s="65">
        <f t="shared" si="450"/>
        <v>0</v>
      </c>
      <c r="AN474" s="64">
        <f t="shared" si="450"/>
        <v>0</v>
      </c>
      <c r="AO474" s="64">
        <f t="shared" si="450"/>
        <v>0</v>
      </c>
      <c r="AP474" s="64">
        <f t="shared" si="450"/>
        <v>0</v>
      </c>
      <c r="AQ474" s="64">
        <f t="shared" si="450"/>
        <v>0</v>
      </c>
      <c r="AR474" s="64">
        <f t="shared" si="450"/>
        <v>0</v>
      </c>
      <c r="AS474" s="64">
        <f t="shared" si="450"/>
        <v>0</v>
      </c>
      <c r="AT474" s="64">
        <f t="shared" si="450"/>
        <v>0</v>
      </c>
      <c r="AU474" s="64">
        <f t="shared" si="450"/>
        <v>0</v>
      </c>
      <c r="AV474" s="64">
        <f t="shared" si="450"/>
        <v>0</v>
      </c>
      <c r="AW474" s="64">
        <f t="shared" si="450"/>
        <v>0</v>
      </c>
      <c r="AX474" s="64">
        <f t="shared" si="450"/>
        <v>0</v>
      </c>
    </row>
    <row r="475" spans="1:50" x14ac:dyDescent="0.2">
      <c r="A475" s="60"/>
      <c r="B475" s="53" t="s">
        <v>45</v>
      </c>
      <c r="C475" s="61"/>
      <c r="D475" s="62">
        <v>67</v>
      </c>
      <c r="E475" s="63"/>
      <c r="F475" s="68">
        <f t="shared" ref="F475:AX475" si="451">SUMIF($D$5:$D$132,"=N",F$5:F$132)</f>
        <v>1032550</v>
      </c>
      <c r="G475" s="68">
        <f t="shared" si="451"/>
        <v>523179</v>
      </c>
      <c r="H475" s="122">
        <f t="shared" si="449"/>
        <v>1.9736075033592708</v>
      </c>
      <c r="I475" s="68">
        <f t="shared" si="451"/>
        <v>622338.20000000007</v>
      </c>
      <c r="J475" s="68">
        <f t="shared" si="451"/>
        <v>618.5</v>
      </c>
      <c r="K475" s="68">
        <f t="shared" si="451"/>
        <v>25997.05</v>
      </c>
      <c r="L475" s="68">
        <f t="shared" si="451"/>
        <v>0</v>
      </c>
      <c r="M475" s="68">
        <f t="shared" si="451"/>
        <v>400906</v>
      </c>
      <c r="N475" s="68">
        <f t="shared" si="451"/>
        <v>350793</v>
      </c>
      <c r="O475" s="68">
        <f t="shared" si="451"/>
        <v>73018</v>
      </c>
      <c r="P475" s="68">
        <f t="shared" si="451"/>
        <v>183372</v>
      </c>
      <c r="Q475" s="68">
        <f t="shared" si="451"/>
        <v>248996</v>
      </c>
      <c r="R475" s="68">
        <f t="shared" si="451"/>
        <v>0</v>
      </c>
      <c r="S475" s="68">
        <f t="shared" si="451"/>
        <v>0</v>
      </c>
      <c r="T475" s="68">
        <f t="shared" si="451"/>
        <v>0</v>
      </c>
      <c r="U475" s="68">
        <f t="shared" si="451"/>
        <v>0</v>
      </c>
      <c r="V475" s="68">
        <f t="shared" si="451"/>
        <v>0</v>
      </c>
      <c r="W475" s="68">
        <f t="shared" si="451"/>
        <v>0</v>
      </c>
      <c r="X475" s="68">
        <f t="shared" si="451"/>
        <v>0</v>
      </c>
      <c r="Y475" s="68">
        <f t="shared" si="451"/>
        <v>0</v>
      </c>
      <c r="Z475" s="68">
        <f t="shared" si="451"/>
        <v>0</v>
      </c>
      <c r="AA475" s="68">
        <f t="shared" si="451"/>
        <v>0</v>
      </c>
      <c r="AB475" s="68">
        <f t="shared" si="451"/>
        <v>0</v>
      </c>
      <c r="AC475" s="68">
        <f t="shared" si="451"/>
        <v>0</v>
      </c>
      <c r="AD475" s="68">
        <f t="shared" si="451"/>
        <v>0</v>
      </c>
      <c r="AE475" s="68">
        <f t="shared" si="451"/>
        <v>0</v>
      </c>
      <c r="AF475" s="68">
        <f t="shared" si="451"/>
        <v>0</v>
      </c>
      <c r="AG475" s="68">
        <f t="shared" si="451"/>
        <v>0</v>
      </c>
      <c r="AH475" s="68">
        <f t="shared" si="451"/>
        <v>0</v>
      </c>
      <c r="AI475" s="68">
        <f t="shared" si="451"/>
        <v>0</v>
      </c>
      <c r="AJ475" s="68">
        <f t="shared" si="451"/>
        <v>0</v>
      </c>
      <c r="AK475" s="68">
        <f t="shared" si="451"/>
        <v>0</v>
      </c>
      <c r="AL475" s="68">
        <f t="shared" si="451"/>
        <v>0</v>
      </c>
      <c r="AM475" s="69">
        <f t="shared" si="451"/>
        <v>0</v>
      </c>
      <c r="AN475" s="68">
        <f t="shared" si="451"/>
        <v>0</v>
      </c>
      <c r="AO475" s="68">
        <f t="shared" si="451"/>
        <v>0</v>
      </c>
      <c r="AP475" s="68">
        <f t="shared" si="451"/>
        <v>0</v>
      </c>
      <c r="AQ475" s="68">
        <f t="shared" si="451"/>
        <v>0</v>
      </c>
      <c r="AR475" s="68">
        <f t="shared" si="451"/>
        <v>0</v>
      </c>
      <c r="AS475" s="68">
        <f t="shared" si="451"/>
        <v>0</v>
      </c>
      <c r="AT475" s="68">
        <f t="shared" si="451"/>
        <v>0</v>
      </c>
      <c r="AU475" s="68">
        <f t="shared" si="451"/>
        <v>0</v>
      </c>
      <c r="AV475" s="68">
        <f t="shared" si="451"/>
        <v>0</v>
      </c>
      <c r="AW475" s="68">
        <f t="shared" si="451"/>
        <v>0</v>
      </c>
      <c r="AX475" s="68">
        <f t="shared" si="451"/>
        <v>0</v>
      </c>
    </row>
    <row r="476" spans="1:50" x14ac:dyDescent="0.2">
      <c r="A476" s="60"/>
      <c r="B476" s="91" t="s">
        <v>28</v>
      </c>
      <c r="C476" s="61"/>
      <c r="D476" s="62">
        <v>86</v>
      </c>
      <c r="E476" s="63"/>
      <c r="F476" s="64">
        <f>F474+F475</f>
        <v>1857281</v>
      </c>
      <c r="G476" s="64">
        <f t="shared" ref="G476:AX476" si="452">G474+G475</f>
        <v>902435</v>
      </c>
      <c r="H476" s="120">
        <f t="shared" si="449"/>
        <v>2.0580773130474772</v>
      </c>
      <c r="I476" s="64">
        <f t="shared" si="452"/>
        <v>687052.20000000007</v>
      </c>
      <c r="J476" s="64">
        <f t="shared" si="452"/>
        <v>1120.5</v>
      </c>
      <c r="K476" s="64">
        <f t="shared" si="452"/>
        <v>35275.049999999996</v>
      </c>
      <c r="L476" s="64">
        <f t="shared" si="452"/>
        <v>0</v>
      </c>
      <c r="M476" s="64">
        <f t="shared" si="452"/>
        <v>726185.01</v>
      </c>
      <c r="N476" s="64">
        <f t="shared" si="452"/>
        <v>667045</v>
      </c>
      <c r="O476" s="64">
        <f t="shared" si="452"/>
        <v>168133</v>
      </c>
      <c r="P476" s="64">
        <f t="shared" si="452"/>
        <v>356992</v>
      </c>
      <c r="Q476" s="64">
        <f t="shared" si="452"/>
        <v>559919</v>
      </c>
      <c r="R476" s="64">
        <f t="shared" si="452"/>
        <v>0</v>
      </c>
      <c r="S476" s="64">
        <f t="shared" si="452"/>
        <v>0</v>
      </c>
      <c r="T476" s="64">
        <f t="shared" si="452"/>
        <v>0</v>
      </c>
      <c r="U476" s="64">
        <f t="shared" si="452"/>
        <v>0</v>
      </c>
      <c r="V476" s="64">
        <f t="shared" si="452"/>
        <v>0</v>
      </c>
      <c r="W476" s="64">
        <f t="shared" si="452"/>
        <v>0</v>
      </c>
      <c r="X476" s="64">
        <f t="shared" si="452"/>
        <v>0</v>
      </c>
      <c r="Y476" s="64">
        <f t="shared" si="452"/>
        <v>0</v>
      </c>
      <c r="Z476" s="64">
        <f t="shared" si="452"/>
        <v>0</v>
      </c>
      <c r="AA476" s="64">
        <f t="shared" si="452"/>
        <v>0</v>
      </c>
      <c r="AB476" s="64">
        <f t="shared" si="452"/>
        <v>0</v>
      </c>
      <c r="AC476" s="64">
        <f t="shared" si="452"/>
        <v>0</v>
      </c>
      <c r="AD476" s="64">
        <f t="shared" si="452"/>
        <v>0</v>
      </c>
      <c r="AE476" s="64">
        <f t="shared" si="452"/>
        <v>0</v>
      </c>
      <c r="AF476" s="64">
        <f t="shared" si="452"/>
        <v>0</v>
      </c>
      <c r="AG476" s="64">
        <f t="shared" si="452"/>
        <v>0</v>
      </c>
      <c r="AH476" s="64">
        <f t="shared" si="452"/>
        <v>0</v>
      </c>
      <c r="AI476" s="64">
        <f t="shared" si="452"/>
        <v>0</v>
      </c>
      <c r="AJ476" s="64">
        <f t="shared" si="452"/>
        <v>0</v>
      </c>
      <c r="AK476" s="64">
        <f t="shared" si="452"/>
        <v>0</v>
      </c>
      <c r="AL476" s="64">
        <f t="shared" si="452"/>
        <v>0</v>
      </c>
      <c r="AM476" s="65">
        <f t="shared" si="452"/>
        <v>0</v>
      </c>
      <c r="AN476" s="64">
        <f t="shared" si="452"/>
        <v>0</v>
      </c>
      <c r="AO476" s="64">
        <f t="shared" si="452"/>
        <v>0</v>
      </c>
      <c r="AP476" s="64">
        <f t="shared" si="452"/>
        <v>0</v>
      </c>
      <c r="AQ476" s="64">
        <f t="shared" si="452"/>
        <v>0</v>
      </c>
      <c r="AR476" s="64">
        <f t="shared" si="452"/>
        <v>0</v>
      </c>
      <c r="AS476" s="64">
        <f t="shared" si="452"/>
        <v>0</v>
      </c>
      <c r="AT476" s="64">
        <f t="shared" si="452"/>
        <v>0</v>
      </c>
      <c r="AU476" s="64">
        <f t="shared" si="452"/>
        <v>0</v>
      </c>
      <c r="AV476" s="64">
        <f t="shared" si="452"/>
        <v>0</v>
      </c>
      <c r="AW476" s="64">
        <f t="shared" si="452"/>
        <v>0</v>
      </c>
      <c r="AX476" s="64">
        <f t="shared" si="452"/>
        <v>0</v>
      </c>
    </row>
    <row r="477" spans="1:50" x14ac:dyDescent="0.2">
      <c r="A477" s="60"/>
      <c r="B477" s="91" t="s">
        <v>46</v>
      </c>
      <c r="C477" s="61"/>
      <c r="D477" s="62">
        <v>42</v>
      </c>
      <c r="E477" s="63"/>
      <c r="F477" s="68">
        <f>F472+F473</f>
        <v>6309290</v>
      </c>
      <c r="G477" s="68">
        <f t="shared" ref="G477:AX477" si="453">G472+G473</f>
        <v>2463895</v>
      </c>
      <c r="H477" s="122">
        <f t="shared" si="449"/>
        <v>2.56069759466211</v>
      </c>
      <c r="I477" s="68">
        <f t="shared" si="453"/>
        <v>20544.199999999997</v>
      </c>
      <c r="J477" s="68">
        <f t="shared" si="453"/>
        <v>100863.09999999998</v>
      </c>
      <c r="K477" s="68">
        <f t="shared" si="453"/>
        <v>20724.759999999998</v>
      </c>
      <c r="L477" s="68">
        <f t="shared" si="453"/>
        <v>0</v>
      </c>
      <c r="M477" s="68">
        <f t="shared" si="453"/>
        <v>2215068</v>
      </c>
      <c r="N477" s="68">
        <f t="shared" si="453"/>
        <v>2173112</v>
      </c>
      <c r="O477" s="68">
        <f t="shared" si="453"/>
        <v>1332182</v>
      </c>
      <c r="P477" s="68">
        <f t="shared" si="453"/>
        <v>326579</v>
      </c>
      <c r="Q477" s="68">
        <f t="shared" si="453"/>
        <v>2435417</v>
      </c>
      <c r="R477" s="68">
        <f t="shared" si="453"/>
        <v>0</v>
      </c>
      <c r="S477" s="68">
        <f t="shared" si="453"/>
        <v>0</v>
      </c>
      <c r="T477" s="68">
        <f t="shared" si="453"/>
        <v>0</v>
      </c>
      <c r="U477" s="68">
        <f t="shared" si="453"/>
        <v>0</v>
      </c>
      <c r="V477" s="68">
        <f t="shared" si="453"/>
        <v>0</v>
      </c>
      <c r="W477" s="68">
        <f t="shared" si="453"/>
        <v>0</v>
      </c>
      <c r="X477" s="68">
        <f t="shared" si="453"/>
        <v>0</v>
      </c>
      <c r="Y477" s="68">
        <f t="shared" si="453"/>
        <v>0</v>
      </c>
      <c r="Z477" s="68">
        <f t="shared" si="453"/>
        <v>0</v>
      </c>
      <c r="AA477" s="68">
        <f t="shared" si="453"/>
        <v>0</v>
      </c>
      <c r="AB477" s="68">
        <f t="shared" si="453"/>
        <v>0</v>
      </c>
      <c r="AC477" s="68">
        <f t="shared" si="453"/>
        <v>0</v>
      </c>
      <c r="AD477" s="68">
        <f t="shared" si="453"/>
        <v>0</v>
      </c>
      <c r="AE477" s="68">
        <f t="shared" si="453"/>
        <v>0</v>
      </c>
      <c r="AF477" s="68">
        <f t="shared" si="453"/>
        <v>0</v>
      </c>
      <c r="AG477" s="68">
        <f t="shared" si="453"/>
        <v>0</v>
      </c>
      <c r="AH477" s="68">
        <f t="shared" si="453"/>
        <v>0</v>
      </c>
      <c r="AI477" s="68">
        <f t="shared" si="453"/>
        <v>0</v>
      </c>
      <c r="AJ477" s="68">
        <f t="shared" si="453"/>
        <v>0</v>
      </c>
      <c r="AK477" s="68">
        <f t="shared" si="453"/>
        <v>0</v>
      </c>
      <c r="AL477" s="68">
        <f t="shared" si="453"/>
        <v>0</v>
      </c>
      <c r="AM477" s="69">
        <f t="shared" si="453"/>
        <v>0</v>
      </c>
      <c r="AN477" s="68">
        <f t="shared" si="453"/>
        <v>0</v>
      </c>
      <c r="AO477" s="68">
        <f t="shared" si="453"/>
        <v>0</v>
      </c>
      <c r="AP477" s="68">
        <f t="shared" si="453"/>
        <v>0</v>
      </c>
      <c r="AQ477" s="68">
        <f t="shared" si="453"/>
        <v>0</v>
      </c>
      <c r="AR477" s="68">
        <f t="shared" si="453"/>
        <v>0</v>
      </c>
      <c r="AS477" s="68">
        <f t="shared" si="453"/>
        <v>0</v>
      </c>
      <c r="AT477" s="68">
        <f t="shared" si="453"/>
        <v>0</v>
      </c>
      <c r="AU477" s="68">
        <f t="shared" si="453"/>
        <v>0</v>
      </c>
      <c r="AV477" s="68">
        <f t="shared" si="453"/>
        <v>0</v>
      </c>
      <c r="AW477" s="68">
        <f t="shared" si="453"/>
        <v>0</v>
      </c>
      <c r="AX477" s="68">
        <f t="shared" si="453"/>
        <v>0</v>
      </c>
    </row>
    <row r="478" spans="1:50" x14ac:dyDescent="0.2">
      <c r="A478" s="60"/>
      <c r="B478" s="91"/>
      <c r="C478" s="70"/>
      <c r="D478" s="62"/>
      <c r="E478" s="63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7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</row>
    <row r="479" spans="1:50" x14ac:dyDescent="0.2">
      <c r="B479" s="101"/>
      <c r="C479" s="9" t="s">
        <v>20</v>
      </c>
      <c r="D479" s="74">
        <f>COUNTIF($C$5:$C$132,"NEWF")</f>
        <v>7</v>
      </c>
      <c r="F479" s="10">
        <f>F505</f>
        <v>307047</v>
      </c>
      <c r="G479" s="10">
        <f t="shared" ref="G479:AX479" si="454">G505</f>
        <v>135511</v>
      </c>
      <c r="H479" s="81">
        <f t="shared" si="454"/>
        <v>2.2658455771118211</v>
      </c>
      <c r="I479" s="10">
        <f t="shared" si="454"/>
        <v>20706.400000000005</v>
      </c>
      <c r="J479" s="10">
        <f t="shared" si="454"/>
        <v>280.7</v>
      </c>
      <c r="K479" s="10">
        <f t="shared" si="454"/>
        <v>3010.1</v>
      </c>
      <c r="L479" s="10">
        <f t="shared" si="454"/>
        <v>0</v>
      </c>
      <c r="M479" s="10">
        <f t="shared" si="454"/>
        <v>119290</v>
      </c>
      <c r="N479" s="10">
        <f t="shared" si="454"/>
        <v>116701</v>
      </c>
      <c r="O479" s="10">
        <f t="shared" si="454"/>
        <v>0</v>
      </c>
      <c r="P479" s="10">
        <f t="shared" si="454"/>
        <v>90766</v>
      </c>
      <c r="Q479" s="10">
        <f t="shared" si="454"/>
        <v>82877</v>
      </c>
      <c r="R479" s="10">
        <f t="shared" si="454"/>
        <v>0</v>
      </c>
      <c r="S479" s="10">
        <f t="shared" si="454"/>
        <v>0</v>
      </c>
      <c r="T479" s="10">
        <f t="shared" si="454"/>
        <v>0</v>
      </c>
      <c r="U479" s="10">
        <f t="shared" si="454"/>
        <v>0</v>
      </c>
      <c r="V479" s="10">
        <f t="shared" si="454"/>
        <v>0</v>
      </c>
      <c r="W479" s="10">
        <f t="shared" si="454"/>
        <v>0</v>
      </c>
      <c r="X479" s="10">
        <f t="shared" si="454"/>
        <v>0</v>
      </c>
      <c r="Y479" s="10">
        <f t="shared" si="454"/>
        <v>0</v>
      </c>
      <c r="Z479" s="10">
        <f t="shared" si="454"/>
        <v>0</v>
      </c>
      <c r="AA479" s="10">
        <f t="shared" si="454"/>
        <v>0</v>
      </c>
      <c r="AB479" s="10">
        <f t="shared" si="454"/>
        <v>0</v>
      </c>
      <c r="AC479" s="10">
        <f t="shared" si="454"/>
        <v>0</v>
      </c>
      <c r="AD479" s="10">
        <f t="shared" si="454"/>
        <v>0</v>
      </c>
      <c r="AE479" s="10">
        <f t="shared" si="454"/>
        <v>0</v>
      </c>
      <c r="AF479" s="10">
        <f t="shared" si="454"/>
        <v>0</v>
      </c>
      <c r="AG479" s="10">
        <f t="shared" si="454"/>
        <v>0</v>
      </c>
      <c r="AH479" s="10">
        <f t="shared" si="454"/>
        <v>0</v>
      </c>
      <c r="AI479" s="10">
        <f t="shared" si="454"/>
        <v>0</v>
      </c>
      <c r="AJ479" s="10">
        <f t="shared" si="454"/>
        <v>0</v>
      </c>
      <c r="AK479" s="10">
        <f t="shared" si="454"/>
        <v>0</v>
      </c>
      <c r="AL479" s="10">
        <f t="shared" si="454"/>
        <v>0</v>
      </c>
      <c r="AM479" s="46">
        <f t="shared" si="454"/>
        <v>0</v>
      </c>
      <c r="AN479" s="10">
        <f t="shared" si="454"/>
        <v>0</v>
      </c>
      <c r="AO479" s="10">
        <f t="shared" si="454"/>
        <v>0</v>
      </c>
      <c r="AP479" s="10">
        <f t="shared" si="454"/>
        <v>0</v>
      </c>
      <c r="AQ479" s="10">
        <f t="shared" si="454"/>
        <v>0</v>
      </c>
      <c r="AR479" s="10">
        <f t="shared" si="454"/>
        <v>0</v>
      </c>
      <c r="AS479" s="10">
        <f t="shared" si="454"/>
        <v>0</v>
      </c>
      <c r="AT479" s="10">
        <f t="shared" si="454"/>
        <v>0</v>
      </c>
      <c r="AU479" s="10">
        <f t="shared" si="454"/>
        <v>0</v>
      </c>
      <c r="AV479" s="10">
        <f t="shared" si="454"/>
        <v>0</v>
      </c>
      <c r="AW479" s="10">
        <f t="shared" si="454"/>
        <v>0</v>
      </c>
      <c r="AX479" s="10">
        <f t="shared" si="454"/>
        <v>0</v>
      </c>
    </row>
    <row r="480" spans="1:50" x14ac:dyDescent="0.2">
      <c r="B480" s="101"/>
      <c r="C480" s="8" t="s">
        <v>17</v>
      </c>
      <c r="D480" s="74">
        <f>COUNTIF($C$5:$C$132,"NIRW")</f>
        <v>12</v>
      </c>
      <c r="F480" s="10">
        <f>F525</f>
        <v>186389</v>
      </c>
      <c r="G480" s="10">
        <f t="shared" ref="G480:AX480" si="455">G525</f>
        <v>89039</v>
      </c>
      <c r="H480" s="81">
        <f t="shared" si="455"/>
        <v>2.0933411201832905</v>
      </c>
      <c r="I480" s="10">
        <f t="shared" si="455"/>
        <v>99643</v>
      </c>
      <c r="J480" s="10">
        <f t="shared" si="455"/>
        <v>23.099999999999998</v>
      </c>
      <c r="K480" s="10">
        <f t="shared" si="455"/>
        <v>4974</v>
      </c>
      <c r="L480" s="10">
        <f t="shared" si="455"/>
        <v>0</v>
      </c>
      <c r="M480" s="10">
        <f t="shared" si="455"/>
        <v>74078</v>
      </c>
      <c r="N480" s="10">
        <f t="shared" si="455"/>
        <v>63314</v>
      </c>
      <c r="O480" s="10">
        <f t="shared" si="455"/>
        <v>24217</v>
      </c>
      <c r="P480" s="10">
        <f t="shared" si="455"/>
        <v>21054</v>
      </c>
      <c r="Q480" s="10">
        <f t="shared" si="455"/>
        <v>52710</v>
      </c>
      <c r="R480" s="10">
        <f t="shared" si="455"/>
        <v>0</v>
      </c>
      <c r="S480" s="10">
        <f t="shared" si="455"/>
        <v>0</v>
      </c>
      <c r="T480" s="10">
        <f t="shared" si="455"/>
        <v>0</v>
      </c>
      <c r="U480" s="10">
        <f t="shared" si="455"/>
        <v>0</v>
      </c>
      <c r="V480" s="10">
        <f t="shared" si="455"/>
        <v>0</v>
      </c>
      <c r="W480" s="10">
        <f t="shared" si="455"/>
        <v>0</v>
      </c>
      <c r="X480" s="10">
        <f t="shared" si="455"/>
        <v>0</v>
      </c>
      <c r="Y480" s="10">
        <f t="shared" si="455"/>
        <v>0</v>
      </c>
      <c r="Z480" s="10">
        <f t="shared" si="455"/>
        <v>0</v>
      </c>
      <c r="AA480" s="10">
        <f t="shared" si="455"/>
        <v>0</v>
      </c>
      <c r="AB480" s="10">
        <f t="shared" si="455"/>
        <v>0</v>
      </c>
      <c r="AC480" s="10">
        <f t="shared" si="455"/>
        <v>0</v>
      </c>
      <c r="AD480" s="10">
        <f t="shared" si="455"/>
        <v>0</v>
      </c>
      <c r="AE480" s="10">
        <f t="shared" si="455"/>
        <v>0</v>
      </c>
      <c r="AF480" s="10">
        <f t="shared" si="455"/>
        <v>0</v>
      </c>
      <c r="AG480" s="10">
        <f t="shared" si="455"/>
        <v>0</v>
      </c>
      <c r="AH480" s="10">
        <f t="shared" si="455"/>
        <v>0</v>
      </c>
      <c r="AI480" s="10">
        <f t="shared" si="455"/>
        <v>0</v>
      </c>
      <c r="AJ480" s="10">
        <f t="shared" si="455"/>
        <v>0</v>
      </c>
      <c r="AK480" s="10">
        <f t="shared" si="455"/>
        <v>0</v>
      </c>
      <c r="AL480" s="10">
        <f t="shared" si="455"/>
        <v>0</v>
      </c>
      <c r="AM480" s="46">
        <f t="shared" si="455"/>
        <v>0</v>
      </c>
      <c r="AN480" s="10">
        <f t="shared" si="455"/>
        <v>0</v>
      </c>
      <c r="AO480" s="10">
        <f t="shared" si="455"/>
        <v>0</v>
      </c>
      <c r="AP480" s="10">
        <f t="shared" si="455"/>
        <v>0</v>
      </c>
      <c r="AQ480" s="10">
        <f t="shared" si="455"/>
        <v>0</v>
      </c>
      <c r="AR480" s="10">
        <f t="shared" si="455"/>
        <v>0</v>
      </c>
      <c r="AS480" s="10">
        <f t="shared" si="455"/>
        <v>0</v>
      </c>
      <c r="AT480" s="10">
        <f t="shared" si="455"/>
        <v>0</v>
      </c>
      <c r="AU480" s="10">
        <f t="shared" si="455"/>
        <v>0</v>
      </c>
      <c r="AV480" s="10">
        <f t="shared" si="455"/>
        <v>0</v>
      </c>
      <c r="AW480" s="10">
        <f t="shared" si="455"/>
        <v>0</v>
      </c>
      <c r="AX480" s="10">
        <f t="shared" si="455"/>
        <v>0</v>
      </c>
    </row>
    <row r="481" spans="1:50" x14ac:dyDescent="0.2">
      <c r="B481" s="101"/>
      <c r="C481" s="8" t="s">
        <v>43</v>
      </c>
      <c r="D481" s="74">
        <f>COUNTIF($C$5:$C$132,"MidWaste")</f>
        <v>6</v>
      </c>
      <c r="F481" s="10">
        <f>F539</f>
        <v>320918</v>
      </c>
      <c r="G481" s="10">
        <f t="shared" ref="G481:AX481" si="456">G539</f>
        <v>152012</v>
      </c>
      <c r="H481" s="81">
        <f t="shared" si="456"/>
        <v>2.1111359629502933</v>
      </c>
      <c r="I481" s="10">
        <f t="shared" si="456"/>
        <v>21377.4</v>
      </c>
      <c r="J481" s="10">
        <f t="shared" si="456"/>
        <v>129.30000000000001</v>
      </c>
      <c r="K481" s="10">
        <f t="shared" si="456"/>
        <v>3263</v>
      </c>
      <c r="L481" s="10">
        <f t="shared" si="456"/>
        <v>0</v>
      </c>
      <c r="M481" s="10">
        <f t="shared" si="456"/>
        <v>129755</v>
      </c>
      <c r="N481" s="10">
        <f t="shared" si="456"/>
        <v>129805</v>
      </c>
      <c r="O481" s="10">
        <f t="shared" si="456"/>
        <v>37979</v>
      </c>
      <c r="P481" s="10">
        <f t="shared" si="456"/>
        <v>82854</v>
      </c>
      <c r="Q481" s="10">
        <f t="shared" si="456"/>
        <v>136313</v>
      </c>
      <c r="R481" s="10">
        <f t="shared" si="456"/>
        <v>0</v>
      </c>
      <c r="S481" s="10">
        <f t="shared" si="456"/>
        <v>0</v>
      </c>
      <c r="T481" s="10">
        <f t="shared" si="456"/>
        <v>0</v>
      </c>
      <c r="U481" s="10">
        <f t="shared" si="456"/>
        <v>0</v>
      </c>
      <c r="V481" s="10">
        <f t="shared" si="456"/>
        <v>0</v>
      </c>
      <c r="W481" s="10">
        <f t="shared" si="456"/>
        <v>0</v>
      </c>
      <c r="X481" s="10">
        <f t="shared" si="456"/>
        <v>0</v>
      </c>
      <c r="Y481" s="10">
        <f t="shared" si="456"/>
        <v>0</v>
      </c>
      <c r="Z481" s="10">
        <f t="shared" si="456"/>
        <v>0</v>
      </c>
      <c r="AA481" s="10">
        <f t="shared" si="456"/>
        <v>0</v>
      </c>
      <c r="AB481" s="10">
        <f t="shared" si="456"/>
        <v>0</v>
      </c>
      <c r="AC481" s="10">
        <f t="shared" si="456"/>
        <v>0</v>
      </c>
      <c r="AD481" s="10">
        <f t="shared" si="456"/>
        <v>0</v>
      </c>
      <c r="AE481" s="10">
        <f t="shared" si="456"/>
        <v>0</v>
      </c>
      <c r="AF481" s="10">
        <f t="shared" si="456"/>
        <v>0</v>
      </c>
      <c r="AG481" s="10">
        <f t="shared" si="456"/>
        <v>0</v>
      </c>
      <c r="AH481" s="10">
        <f t="shared" si="456"/>
        <v>0</v>
      </c>
      <c r="AI481" s="10">
        <f t="shared" si="456"/>
        <v>0</v>
      </c>
      <c r="AJ481" s="10">
        <f t="shared" si="456"/>
        <v>0</v>
      </c>
      <c r="AK481" s="10">
        <f t="shared" si="456"/>
        <v>0</v>
      </c>
      <c r="AL481" s="10">
        <f t="shared" si="456"/>
        <v>0</v>
      </c>
      <c r="AM481" s="46">
        <f t="shared" si="456"/>
        <v>0</v>
      </c>
      <c r="AN481" s="10">
        <f t="shared" si="456"/>
        <v>0</v>
      </c>
      <c r="AO481" s="10">
        <f t="shared" si="456"/>
        <v>0</v>
      </c>
      <c r="AP481" s="10">
        <f t="shared" si="456"/>
        <v>0</v>
      </c>
      <c r="AQ481" s="10">
        <f t="shared" si="456"/>
        <v>0</v>
      </c>
      <c r="AR481" s="10">
        <f t="shared" si="456"/>
        <v>0</v>
      </c>
      <c r="AS481" s="10">
        <f t="shared" si="456"/>
        <v>0</v>
      </c>
      <c r="AT481" s="10">
        <f t="shared" si="456"/>
        <v>0</v>
      </c>
      <c r="AU481" s="10">
        <f t="shared" si="456"/>
        <v>0</v>
      </c>
      <c r="AV481" s="10">
        <f t="shared" si="456"/>
        <v>0</v>
      </c>
      <c r="AW481" s="10">
        <f t="shared" si="456"/>
        <v>0</v>
      </c>
      <c r="AX481" s="10">
        <f t="shared" si="456"/>
        <v>0</v>
      </c>
    </row>
    <row r="482" spans="1:50" x14ac:dyDescent="0.2">
      <c r="B482" s="101"/>
      <c r="C482" s="8" t="s">
        <v>42</v>
      </c>
      <c r="D482" s="74">
        <f>COUNTIF($C$5:$C$132,"NetWaste")</f>
        <v>25</v>
      </c>
      <c r="F482" s="10">
        <f>F572</f>
        <v>323538</v>
      </c>
      <c r="G482" s="10">
        <f t="shared" ref="G482:AX482" si="457">G572</f>
        <v>170613</v>
      </c>
      <c r="H482" s="81">
        <f t="shared" si="457"/>
        <v>1.8963267746303036</v>
      </c>
      <c r="I482" s="10">
        <f t="shared" si="457"/>
        <v>307976.8</v>
      </c>
      <c r="J482" s="10">
        <f t="shared" si="457"/>
        <v>300.90000000000003</v>
      </c>
      <c r="K482" s="10">
        <f t="shared" si="457"/>
        <v>10135.66</v>
      </c>
      <c r="L482" s="10">
        <f t="shared" si="457"/>
        <v>0</v>
      </c>
      <c r="M482" s="10">
        <f t="shared" si="457"/>
        <v>120098</v>
      </c>
      <c r="N482" s="10">
        <f t="shared" si="457"/>
        <v>100557</v>
      </c>
      <c r="O482" s="10">
        <f t="shared" si="457"/>
        <v>1293</v>
      </c>
      <c r="P482" s="10">
        <f t="shared" si="457"/>
        <v>74559</v>
      </c>
      <c r="Q482" s="10">
        <f t="shared" si="457"/>
        <v>87882</v>
      </c>
      <c r="R482" s="10">
        <f t="shared" si="457"/>
        <v>0</v>
      </c>
      <c r="S482" s="10">
        <f t="shared" si="457"/>
        <v>0</v>
      </c>
      <c r="T482" s="10">
        <f t="shared" si="457"/>
        <v>0</v>
      </c>
      <c r="U482" s="10">
        <f t="shared" si="457"/>
        <v>0</v>
      </c>
      <c r="V482" s="10">
        <f t="shared" si="457"/>
        <v>0</v>
      </c>
      <c r="W482" s="10">
        <f t="shared" si="457"/>
        <v>0</v>
      </c>
      <c r="X482" s="10">
        <f t="shared" si="457"/>
        <v>0</v>
      </c>
      <c r="Y482" s="10">
        <f t="shared" si="457"/>
        <v>0</v>
      </c>
      <c r="Z482" s="10">
        <f t="shared" si="457"/>
        <v>0</v>
      </c>
      <c r="AA482" s="10">
        <f t="shared" si="457"/>
        <v>0</v>
      </c>
      <c r="AB482" s="10">
        <f t="shared" si="457"/>
        <v>0</v>
      </c>
      <c r="AC482" s="10">
        <f t="shared" si="457"/>
        <v>0</v>
      </c>
      <c r="AD482" s="10">
        <f t="shared" si="457"/>
        <v>0</v>
      </c>
      <c r="AE482" s="10">
        <f t="shared" si="457"/>
        <v>0</v>
      </c>
      <c r="AF482" s="10">
        <f t="shared" si="457"/>
        <v>0</v>
      </c>
      <c r="AG482" s="10">
        <f t="shared" si="457"/>
        <v>0</v>
      </c>
      <c r="AH482" s="10">
        <f t="shared" si="457"/>
        <v>0</v>
      </c>
      <c r="AI482" s="10">
        <f t="shared" si="457"/>
        <v>0</v>
      </c>
      <c r="AJ482" s="10">
        <f t="shared" si="457"/>
        <v>0</v>
      </c>
      <c r="AK482" s="10">
        <f t="shared" si="457"/>
        <v>0</v>
      </c>
      <c r="AL482" s="10">
        <f t="shared" si="457"/>
        <v>0</v>
      </c>
      <c r="AM482" s="46">
        <f t="shared" si="457"/>
        <v>0</v>
      </c>
      <c r="AN482" s="10">
        <f t="shared" si="457"/>
        <v>0</v>
      </c>
      <c r="AO482" s="10">
        <f t="shared" si="457"/>
        <v>0</v>
      </c>
      <c r="AP482" s="10">
        <f t="shared" si="457"/>
        <v>0</v>
      </c>
      <c r="AQ482" s="10">
        <f t="shared" si="457"/>
        <v>0</v>
      </c>
      <c r="AR482" s="10">
        <f t="shared" si="457"/>
        <v>0</v>
      </c>
      <c r="AS482" s="10">
        <f t="shared" si="457"/>
        <v>0</v>
      </c>
      <c r="AT482" s="10">
        <f t="shared" si="457"/>
        <v>0</v>
      </c>
      <c r="AU482" s="10">
        <f t="shared" si="457"/>
        <v>0</v>
      </c>
      <c r="AV482" s="10">
        <f t="shared" si="457"/>
        <v>0</v>
      </c>
      <c r="AW482" s="10">
        <f t="shared" si="457"/>
        <v>0</v>
      </c>
      <c r="AX482" s="10">
        <f t="shared" si="457"/>
        <v>0</v>
      </c>
    </row>
    <row r="483" spans="1:50" x14ac:dyDescent="0.2">
      <c r="B483" s="101"/>
      <c r="C483" s="8" t="s">
        <v>22</v>
      </c>
      <c r="D483" s="74">
        <f>COUNTIF($C$5:$C$132,"REROC")</f>
        <v>8</v>
      </c>
      <c r="F483" s="10">
        <f>F588</f>
        <v>114273</v>
      </c>
      <c r="G483" s="10">
        <f t="shared" ref="G483:AX483" si="458">G588</f>
        <v>55651</v>
      </c>
      <c r="H483" s="81">
        <f t="shared" si="458"/>
        <v>2.0533862823668936</v>
      </c>
      <c r="I483" s="10">
        <f t="shared" si="458"/>
        <v>33271.800000000003</v>
      </c>
      <c r="J483" s="10">
        <f t="shared" si="458"/>
        <v>27.4</v>
      </c>
      <c r="K483" s="10">
        <f t="shared" si="458"/>
        <v>3000.24</v>
      </c>
      <c r="L483" s="10">
        <f t="shared" si="458"/>
        <v>0</v>
      </c>
      <c r="M483" s="10">
        <f t="shared" si="458"/>
        <v>44114</v>
      </c>
      <c r="N483" s="10">
        <f t="shared" si="458"/>
        <v>39606</v>
      </c>
      <c r="O483" s="10">
        <f t="shared" si="458"/>
        <v>2578</v>
      </c>
      <c r="P483" s="10">
        <f t="shared" si="458"/>
        <v>32454</v>
      </c>
      <c r="Q483" s="10">
        <f t="shared" si="458"/>
        <v>35146</v>
      </c>
      <c r="R483" s="10">
        <f t="shared" si="458"/>
        <v>0</v>
      </c>
      <c r="S483" s="10">
        <f t="shared" si="458"/>
        <v>0</v>
      </c>
      <c r="T483" s="10">
        <f t="shared" si="458"/>
        <v>0</v>
      </c>
      <c r="U483" s="10">
        <f t="shared" si="458"/>
        <v>0</v>
      </c>
      <c r="V483" s="10">
        <f t="shared" si="458"/>
        <v>0</v>
      </c>
      <c r="W483" s="10">
        <f t="shared" si="458"/>
        <v>0</v>
      </c>
      <c r="X483" s="10">
        <f t="shared" si="458"/>
        <v>0</v>
      </c>
      <c r="Y483" s="10">
        <f t="shared" si="458"/>
        <v>0</v>
      </c>
      <c r="Z483" s="10">
        <f t="shared" si="458"/>
        <v>0</v>
      </c>
      <c r="AA483" s="10">
        <f t="shared" si="458"/>
        <v>0</v>
      </c>
      <c r="AB483" s="10">
        <f t="shared" si="458"/>
        <v>0</v>
      </c>
      <c r="AC483" s="10">
        <f t="shared" si="458"/>
        <v>0</v>
      </c>
      <c r="AD483" s="10">
        <f t="shared" si="458"/>
        <v>0</v>
      </c>
      <c r="AE483" s="10">
        <f t="shared" si="458"/>
        <v>0</v>
      </c>
      <c r="AF483" s="10">
        <f t="shared" si="458"/>
        <v>0</v>
      </c>
      <c r="AG483" s="10">
        <f t="shared" si="458"/>
        <v>0</v>
      </c>
      <c r="AH483" s="10">
        <f t="shared" si="458"/>
        <v>0</v>
      </c>
      <c r="AI483" s="10">
        <f t="shared" si="458"/>
        <v>0</v>
      </c>
      <c r="AJ483" s="10">
        <f t="shared" si="458"/>
        <v>0</v>
      </c>
      <c r="AK483" s="10">
        <f t="shared" si="458"/>
        <v>0</v>
      </c>
      <c r="AL483" s="10">
        <f t="shared" si="458"/>
        <v>0</v>
      </c>
      <c r="AM483" s="46">
        <f t="shared" si="458"/>
        <v>0</v>
      </c>
      <c r="AN483" s="10">
        <f t="shared" si="458"/>
        <v>0</v>
      </c>
      <c r="AO483" s="10">
        <f t="shared" si="458"/>
        <v>0</v>
      </c>
      <c r="AP483" s="10">
        <f t="shared" si="458"/>
        <v>0</v>
      </c>
      <c r="AQ483" s="10">
        <f t="shared" si="458"/>
        <v>0</v>
      </c>
      <c r="AR483" s="10">
        <f t="shared" si="458"/>
        <v>0</v>
      </c>
      <c r="AS483" s="10">
        <f t="shared" si="458"/>
        <v>0</v>
      </c>
      <c r="AT483" s="10">
        <f t="shared" si="458"/>
        <v>0</v>
      </c>
      <c r="AU483" s="10">
        <f t="shared" si="458"/>
        <v>0</v>
      </c>
      <c r="AV483" s="10">
        <f t="shared" si="458"/>
        <v>0</v>
      </c>
      <c r="AW483" s="10">
        <f t="shared" si="458"/>
        <v>0</v>
      </c>
      <c r="AX483" s="10">
        <f t="shared" si="458"/>
        <v>0</v>
      </c>
    </row>
    <row r="484" spans="1:50" x14ac:dyDescent="0.2">
      <c r="B484" s="101"/>
      <c r="C484" s="8" t="s">
        <v>75</v>
      </c>
      <c r="D484" s="74">
        <f>COUNTIF($C$5:$C$132,"RAMJO Riverina")</f>
        <v>6</v>
      </c>
      <c r="F484" s="10">
        <f>F602</f>
        <v>54011</v>
      </c>
      <c r="G484" s="10">
        <f t="shared" ref="G484:AX484" si="459">G602</f>
        <v>26153</v>
      </c>
      <c r="H484" s="81">
        <f t="shared" si="459"/>
        <v>2.0651932856651243</v>
      </c>
      <c r="I484" s="10">
        <f t="shared" si="459"/>
        <v>44063.9</v>
      </c>
      <c r="J484" s="10">
        <f t="shared" si="459"/>
        <v>28.700000000000003</v>
      </c>
      <c r="K484" s="10">
        <f t="shared" si="459"/>
        <v>1595.8</v>
      </c>
      <c r="L484" s="10">
        <f t="shared" si="459"/>
        <v>0</v>
      </c>
      <c r="M484" s="10">
        <f t="shared" si="459"/>
        <v>18019</v>
      </c>
      <c r="N484" s="10">
        <f t="shared" si="459"/>
        <v>15128</v>
      </c>
      <c r="O484" s="10">
        <f t="shared" si="459"/>
        <v>0</v>
      </c>
      <c r="P484" s="10">
        <f t="shared" si="459"/>
        <v>0</v>
      </c>
      <c r="Q484" s="10">
        <f t="shared" si="459"/>
        <v>5188</v>
      </c>
      <c r="R484" s="10">
        <f t="shared" si="459"/>
        <v>0</v>
      </c>
      <c r="S484" s="10">
        <f t="shared" si="459"/>
        <v>0</v>
      </c>
      <c r="T484" s="10">
        <f t="shared" si="459"/>
        <v>0</v>
      </c>
      <c r="U484" s="10">
        <f t="shared" si="459"/>
        <v>0</v>
      </c>
      <c r="V484" s="10">
        <f t="shared" si="459"/>
        <v>0</v>
      </c>
      <c r="W484" s="10">
        <f t="shared" si="459"/>
        <v>0</v>
      </c>
      <c r="X484" s="10">
        <f t="shared" si="459"/>
        <v>0</v>
      </c>
      <c r="Y484" s="10">
        <f t="shared" si="459"/>
        <v>0</v>
      </c>
      <c r="Z484" s="10">
        <f t="shared" si="459"/>
        <v>0</v>
      </c>
      <c r="AA484" s="10">
        <f t="shared" si="459"/>
        <v>0</v>
      </c>
      <c r="AB484" s="10">
        <f t="shared" si="459"/>
        <v>0</v>
      </c>
      <c r="AC484" s="10">
        <f t="shared" si="459"/>
        <v>0</v>
      </c>
      <c r="AD484" s="10">
        <f t="shared" si="459"/>
        <v>0</v>
      </c>
      <c r="AE484" s="10">
        <f t="shared" si="459"/>
        <v>0</v>
      </c>
      <c r="AF484" s="10">
        <f t="shared" si="459"/>
        <v>0</v>
      </c>
      <c r="AG484" s="10">
        <f t="shared" si="459"/>
        <v>0</v>
      </c>
      <c r="AH484" s="10">
        <f t="shared" si="459"/>
        <v>0</v>
      </c>
      <c r="AI484" s="10">
        <f t="shared" si="459"/>
        <v>0</v>
      </c>
      <c r="AJ484" s="10">
        <f t="shared" si="459"/>
        <v>0</v>
      </c>
      <c r="AK484" s="10">
        <f t="shared" si="459"/>
        <v>0</v>
      </c>
      <c r="AL484" s="10">
        <f t="shared" si="459"/>
        <v>0</v>
      </c>
      <c r="AM484" s="46">
        <f t="shared" si="459"/>
        <v>0</v>
      </c>
      <c r="AN484" s="10">
        <f t="shared" si="459"/>
        <v>0</v>
      </c>
      <c r="AO484" s="10">
        <f t="shared" si="459"/>
        <v>0</v>
      </c>
      <c r="AP484" s="10">
        <f t="shared" si="459"/>
        <v>0</v>
      </c>
      <c r="AQ484" s="10">
        <f t="shared" si="459"/>
        <v>0</v>
      </c>
      <c r="AR484" s="10">
        <f t="shared" si="459"/>
        <v>0</v>
      </c>
      <c r="AS484" s="10">
        <f t="shared" si="459"/>
        <v>0</v>
      </c>
      <c r="AT484" s="10">
        <f t="shared" si="459"/>
        <v>0</v>
      </c>
      <c r="AU484" s="10">
        <f t="shared" si="459"/>
        <v>0</v>
      </c>
      <c r="AV484" s="10">
        <f t="shared" si="459"/>
        <v>0</v>
      </c>
      <c r="AW484" s="10">
        <f t="shared" si="459"/>
        <v>0</v>
      </c>
      <c r="AX484" s="10">
        <f t="shared" si="459"/>
        <v>0</v>
      </c>
    </row>
    <row r="485" spans="1:50" x14ac:dyDescent="0.2">
      <c r="B485" s="101"/>
      <c r="C485" s="8" t="s">
        <v>74</v>
      </c>
      <c r="D485" s="74">
        <f>COUNTIF($C$5:$C$132,"CRJO")</f>
        <v>10</v>
      </c>
      <c r="F485" s="10">
        <f>F620</f>
        <v>298853</v>
      </c>
      <c r="G485" s="10">
        <f t="shared" ref="G485:AX485" si="460">G620</f>
        <v>144567</v>
      </c>
      <c r="H485" s="81">
        <f t="shared" si="460"/>
        <v>2.0672283439512475</v>
      </c>
      <c r="I485" s="10">
        <f t="shared" si="460"/>
        <v>63321.500000000007</v>
      </c>
      <c r="J485" s="10">
        <f t="shared" si="460"/>
        <v>68.7</v>
      </c>
      <c r="K485" s="10">
        <f t="shared" si="460"/>
        <v>4413.83</v>
      </c>
      <c r="L485" s="10">
        <f t="shared" si="460"/>
        <v>0</v>
      </c>
      <c r="M485" s="10">
        <f t="shared" si="460"/>
        <v>117784</v>
      </c>
      <c r="N485" s="10">
        <f t="shared" si="460"/>
        <v>112006</v>
      </c>
      <c r="O485" s="10">
        <f t="shared" si="460"/>
        <v>60766</v>
      </c>
      <c r="P485" s="10">
        <f t="shared" si="460"/>
        <v>24557</v>
      </c>
      <c r="Q485" s="10">
        <f t="shared" si="460"/>
        <v>84324</v>
      </c>
      <c r="R485" s="10">
        <f t="shared" si="460"/>
        <v>0</v>
      </c>
      <c r="S485" s="10">
        <f t="shared" si="460"/>
        <v>0</v>
      </c>
      <c r="T485" s="10">
        <f t="shared" si="460"/>
        <v>0</v>
      </c>
      <c r="U485" s="10">
        <f t="shared" si="460"/>
        <v>0</v>
      </c>
      <c r="V485" s="10">
        <f t="shared" si="460"/>
        <v>0</v>
      </c>
      <c r="W485" s="10">
        <f t="shared" si="460"/>
        <v>0</v>
      </c>
      <c r="X485" s="10">
        <f t="shared" si="460"/>
        <v>0</v>
      </c>
      <c r="Y485" s="10">
        <f t="shared" si="460"/>
        <v>0</v>
      </c>
      <c r="Z485" s="10">
        <f t="shared" si="460"/>
        <v>0</v>
      </c>
      <c r="AA485" s="10">
        <f t="shared" si="460"/>
        <v>0</v>
      </c>
      <c r="AB485" s="10">
        <f t="shared" si="460"/>
        <v>0</v>
      </c>
      <c r="AC485" s="10">
        <f t="shared" si="460"/>
        <v>0</v>
      </c>
      <c r="AD485" s="10">
        <f t="shared" si="460"/>
        <v>0</v>
      </c>
      <c r="AE485" s="10">
        <f t="shared" si="460"/>
        <v>0</v>
      </c>
      <c r="AF485" s="10">
        <f t="shared" si="460"/>
        <v>0</v>
      </c>
      <c r="AG485" s="10">
        <f t="shared" si="460"/>
        <v>0</v>
      </c>
      <c r="AH485" s="10">
        <f t="shared" si="460"/>
        <v>0</v>
      </c>
      <c r="AI485" s="10">
        <f t="shared" si="460"/>
        <v>0</v>
      </c>
      <c r="AJ485" s="10">
        <f t="shared" si="460"/>
        <v>0</v>
      </c>
      <c r="AK485" s="10">
        <f t="shared" si="460"/>
        <v>0</v>
      </c>
      <c r="AL485" s="10">
        <f t="shared" si="460"/>
        <v>0</v>
      </c>
      <c r="AM485" s="46">
        <f t="shared" si="460"/>
        <v>0</v>
      </c>
      <c r="AN485" s="10">
        <f t="shared" si="460"/>
        <v>0</v>
      </c>
      <c r="AO485" s="10">
        <f t="shared" si="460"/>
        <v>0</v>
      </c>
      <c r="AP485" s="10">
        <f t="shared" si="460"/>
        <v>0</v>
      </c>
      <c r="AQ485" s="10">
        <f t="shared" si="460"/>
        <v>0</v>
      </c>
      <c r="AR485" s="10">
        <f t="shared" si="460"/>
        <v>0</v>
      </c>
      <c r="AS485" s="10">
        <f t="shared" si="460"/>
        <v>0</v>
      </c>
      <c r="AT485" s="10">
        <f t="shared" si="460"/>
        <v>0</v>
      </c>
      <c r="AU485" s="10">
        <f t="shared" si="460"/>
        <v>0</v>
      </c>
      <c r="AV485" s="10">
        <f t="shared" si="460"/>
        <v>0</v>
      </c>
      <c r="AW485" s="10">
        <f t="shared" si="460"/>
        <v>0</v>
      </c>
      <c r="AX485" s="10">
        <f t="shared" si="460"/>
        <v>0</v>
      </c>
    </row>
    <row r="486" spans="1:50" x14ac:dyDescent="0.2">
      <c r="B486" s="101"/>
      <c r="C486" s="8" t="s">
        <v>16</v>
      </c>
      <c r="D486" s="74">
        <f>COUNTIF($C$5:$C$132,"RAMJO Murray")</f>
        <v>7</v>
      </c>
      <c r="F486" s="10">
        <f>F635</f>
        <v>107246</v>
      </c>
      <c r="G486" s="10">
        <f t="shared" ref="G486:AX486" si="461">G635</f>
        <v>57947</v>
      </c>
      <c r="H486" s="81">
        <f t="shared" si="461"/>
        <v>1.8507601774034894</v>
      </c>
      <c r="I486" s="10">
        <f t="shared" si="461"/>
        <v>76750.5</v>
      </c>
      <c r="J486" s="10">
        <f t="shared" si="461"/>
        <v>188.9</v>
      </c>
      <c r="K486" s="10">
        <f t="shared" si="461"/>
        <v>2299.52</v>
      </c>
      <c r="L486" s="10">
        <f t="shared" si="461"/>
        <v>0</v>
      </c>
      <c r="M486" s="10">
        <f t="shared" si="461"/>
        <v>46288</v>
      </c>
      <c r="N486" s="10">
        <f t="shared" si="461"/>
        <v>39657</v>
      </c>
      <c r="O486" s="10">
        <f t="shared" si="461"/>
        <v>2581</v>
      </c>
      <c r="P486" s="10">
        <f t="shared" si="461"/>
        <v>30748</v>
      </c>
      <c r="Q486" s="10">
        <f t="shared" si="461"/>
        <v>4537</v>
      </c>
      <c r="R486" s="10">
        <f t="shared" si="461"/>
        <v>0</v>
      </c>
      <c r="S486" s="10">
        <f t="shared" si="461"/>
        <v>0</v>
      </c>
      <c r="T486" s="10">
        <f t="shared" si="461"/>
        <v>0</v>
      </c>
      <c r="U486" s="10">
        <f t="shared" si="461"/>
        <v>0</v>
      </c>
      <c r="V486" s="10">
        <f t="shared" si="461"/>
        <v>0</v>
      </c>
      <c r="W486" s="10">
        <f t="shared" si="461"/>
        <v>0</v>
      </c>
      <c r="X486" s="10">
        <f t="shared" si="461"/>
        <v>0</v>
      </c>
      <c r="Y486" s="10">
        <f t="shared" si="461"/>
        <v>0</v>
      </c>
      <c r="Z486" s="10">
        <f t="shared" si="461"/>
        <v>0</v>
      </c>
      <c r="AA486" s="10">
        <f t="shared" si="461"/>
        <v>0</v>
      </c>
      <c r="AB486" s="10">
        <f t="shared" si="461"/>
        <v>0</v>
      </c>
      <c r="AC486" s="10">
        <f t="shared" si="461"/>
        <v>0</v>
      </c>
      <c r="AD486" s="10">
        <f t="shared" si="461"/>
        <v>0</v>
      </c>
      <c r="AE486" s="10">
        <f t="shared" si="461"/>
        <v>0</v>
      </c>
      <c r="AF486" s="10">
        <f t="shared" si="461"/>
        <v>0</v>
      </c>
      <c r="AG486" s="10">
        <f t="shared" si="461"/>
        <v>0</v>
      </c>
      <c r="AH486" s="10">
        <f t="shared" si="461"/>
        <v>0</v>
      </c>
      <c r="AI486" s="10">
        <f t="shared" si="461"/>
        <v>0</v>
      </c>
      <c r="AJ486" s="10">
        <f t="shared" si="461"/>
        <v>0</v>
      </c>
      <c r="AK486" s="10">
        <f t="shared" si="461"/>
        <v>0</v>
      </c>
      <c r="AL486" s="10">
        <f t="shared" si="461"/>
        <v>0</v>
      </c>
      <c r="AM486" s="46">
        <f t="shared" si="461"/>
        <v>0</v>
      </c>
      <c r="AN486" s="10">
        <f t="shared" si="461"/>
        <v>0</v>
      </c>
      <c r="AO486" s="10">
        <f t="shared" si="461"/>
        <v>0</v>
      </c>
      <c r="AP486" s="10">
        <f t="shared" si="461"/>
        <v>0</v>
      </c>
      <c r="AQ486" s="10">
        <f t="shared" si="461"/>
        <v>0</v>
      </c>
      <c r="AR486" s="10">
        <f t="shared" si="461"/>
        <v>0</v>
      </c>
      <c r="AS486" s="10">
        <f t="shared" si="461"/>
        <v>0</v>
      </c>
      <c r="AT486" s="10">
        <f t="shared" si="461"/>
        <v>0</v>
      </c>
      <c r="AU486" s="10">
        <f t="shared" si="461"/>
        <v>0</v>
      </c>
      <c r="AV486" s="10">
        <f t="shared" si="461"/>
        <v>0</v>
      </c>
      <c r="AW486" s="10">
        <f t="shared" si="461"/>
        <v>0</v>
      </c>
      <c r="AX486" s="10">
        <f t="shared" si="461"/>
        <v>0</v>
      </c>
    </row>
    <row r="487" spans="1:50" x14ac:dyDescent="0.2">
      <c r="B487" s="101"/>
      <c r="C487" s="8" t="s">
        <v>25</v>
      </c>
      <c r="D487" s="74">
        <f>COUNTIF($C$5:$C$132,"Hunter")</f>
        <v>10</v>
      </c>
      <c r="F487" s="10">
        <f>F653</f>
        <v>1007670</v>
      </c>
      <c r="G487" s="10">
        <f t="shared" ref="G487:AX487" si="462">G653</f>
        <v>427721</v>
      </c>
      <c r="H487" s="81">
        <f t="shared" si="462"/>
        <v>2.3559049006244726</v>
      </c>
      <c r="I487" s="10">
        <f t="shared" si="462"/>
        <v>24375.300000000003</v>
      </c>
      <c r="J487" s="10">
        <f t="shared" si="462"/>
        <v>1779</v>
      </c>
      <c r="K487" s="10">
        <f t="shared" si="462"/>
        <v>4906.87</v>
      </c>
      <c r="L487" s="10">
        <f t="shared" si="462"/>
        <v>0</v>
      </c>
      <c r="M487" s="10">
        <f t="shared" si="462"/>
        <v>378818</v>
      </c>
      <c r="N487" s="10">
        <f t="shared" si="462"/>
        <v>369498</v>
      </c>
      <c r="O487" s="10">
        <f t="shared" si="462"/>
        <v>246459</v>
      </c>
      <c r="P487" s="10">
        <f t="shared" si="462"/>
        <v>84741</v>
      </c>
      <c r="Q487" s="10">
        <f t="shared" si="462"/>
        <v>399243</v>
      </c>
      <c r="R487" s="10">
        <f t="shared" si="462"/>
        <v>0</v>
      </c>
      <c r="S487" s="10">
        <f t="shared" si="462"/>
        <v>0</v>
      </c>
      <c r="T487" s="10">
        <f t="shared" si="462"/>
        <v>0</v>
      </c>
      <c r="U487" s="10">
        <f t="shared" si="462"/>
        <v>0</v>
      </c>
      <c r="V487" s="10">
        <f t="shared" si="462"/>
        <v>0</v>
      </c>
      <c r="W487" s="10">
        <f t="shared" si="462"/>
        <v>0</v>
      </c>
      <c r="X487" s="10">
        <f t="shared" si="462"/>
        <v>0</v>
      </c>
      <c r="Y487" s="10">
        <f t="shared" si="462"/>
        <v>0</v>
      </c>
      <c r="Z487" s="10">
        <f t="shared" si="462"/>
        <v>0</v>
      </c>
      <c r="AA487" s="10">
        <f t="shared" si="462"/>
        <v>0</v>
      </c>
      <c r="AB487" s="10">
        <f t="shared" si="462"/>
        <v>0</v>
      </c>
      <c r="AC487" s="10">
        <f t="shared" si="462"/>
        <v>0</v>
      </c>
      <c r="AD487" s="10">
        <f t="shared" si="462"/>
        <v>0</v>
      </c>
      <c r="AE487" s="10">
        <f t="shared" si="462"/>
        <v>0</v>
      </c>
      <c r="AF487" s="10">
        <f t="shared" si="462"/>
        <v>0</v>
      </c>
      <c r="AG487" s="10">
        <f t="shared" si="462"/>
        <v>0</v>
      </c>
      <c r="AH487" s="10">
        <f t="shared" si="462"/>
        <v>0</v>
      </c>
      <c r="AI487" s="10">
        <f t="shared" si="462"/>
        <v>0</v>
      </c>
      <c r="AJ487" s="10">
        <f t="shared" si="462"/>
        <v>0</v>
      </c>
      <c r="AK487" s="10">
        <f t="shared" si="462"/>
        <v>0</v>
      </c>
      <c r="AL487" s="10">
        <f t="shared" si="462"/>
        <v>0</v>
      </c>
      <c r="AM487" s="46">
        <f t="shared" si="462"/>
        <v>0</v>
      </c>
      <c r="AN487" s="10">
        <f t="shared" si="462"/>
        <v>0</v>
      </c>
      <c r="AO487" s="10">
        <f t="shared" si="462"/>
        <v>0</v>
      </c>
      <c r="AP487" s="10">
        <f t="shared" si="462"/>
        <v>0</v>
      </c>
      <c r="AQ487" s="10">
        <f t="shared" si="462"/>
        <v>0</v>
      </c>
      <c r="AR487" s="10">
        <f t="shared" si="462"/>
        <v>0</v>
      </c>
      <c r="AS487" s="10">
        <f t="shared" si="462"/>
        <v>0</v>
      </c>
      <c r="AT487" s="10">
        <f t="shared" si="462"/>
        <v>0</v>
      </c>
      <c r="AU487" s="10">
        <f t="shared" si="462"/>
        <v>0</v>
      </c>
      <c r="AV487" s="10">
        <f t="shared" si="462"/>
        <v>0</v>
      </c>
      <c r="AW487" s="10">
        <f t="shared" si="462"/>
        <v>0</v>
      </c>
      <c r="AX487" s="10">
        <f t="shared" si="462"/>
        <v>0</v>
      </c>
    </row>
    <row r="488" spans="1:50" x14ac:dyDescent="0.2">
      <c r="B488" s="101"/>
      <c r="C488" s="8" t="s">
        <v>18</v>
      </c>
      <c r="D488" s="74">
        <f>COUNTIF($C$5:$C$132,"SSROC")</f>
        <v>11</v>
      </c>
      <c r="F488" s="10">
        <f>F672</f>
        <v>1832877</v>
      </c>
      <c r="G488" s="10">
        <f t="shared" ref="G488:AX488" si="463">G672</f>
        <v>731302</v>
      </c>
      <c r="H488" s="81">
        <f t="shared" si="463"/>
        <v>2.5063202343217985</v>
      </c>
      <c r="I488" s="10">
        <f t="shared" si="463"/>
        <v>679.1</v>
      </c>
      <c r="J488" s="10">
        <f t="shared" si="463"/>
        <v>54647</v>
      </c>
      <c r="K488" s="10">
        <f t="shared" si="463"/>
        <v>5481.16</v>
      </c>
      <c r="L488" s="10">
        <f t="shared" si="463"/>
        <v>0</v>
      </c>
      <c r="M488" s="10">
        <f t="shared" si="463"/>
        <v>614237</v>
      </c>
      <c r="N488" s="10">
        <f t="shared" si="463"/>
        <v>602813</v>
      </c>
      <c r="O488" s="10">
        <f t="shared" si="463"/>
        <v>436872</v>
      </c>
      <c r="P488" s="10">
        <f t="shared" si="463"/>
        <v>86089</v>
      </c>
      <c r="Q488" s="10">
        <f t="shared" si="463"/>
        <v>731302</v>
      </c>
      <c r="R488" s="10">
        <f t="shared" si="463"/>
        <v>0</v>
      </c>
      <c r="S488" s="10">
        <f t="shared" si="463"/>
        <v>0</v>
      </c>
      <c r="T488" s="10">
        <f t="shared" si="463"/>
        <v>0</v>
      </c>
      <c r="U488" s="10">
        <f t="shared" si="463"/>
        <v>0</v>
      </c>
      <c r="V488" s="10">
        <f t="shared" si="463"/>
        <v>0</v>
      </c>
      <c r="W488" s="10">
        <f t="shared" si="463"/>
        <v>0</v>
      </c>
      <c r="X488" s="10">
        <f t="shared" si="463"/>
        <v>0</v>
      </c>
      <c r="Y488" s="10">
        <f t="shared" si="463"/>
        <v>0</v>
      </c>
      <c r="Z488" s="10">
        <f t="shared" si="463"/>
        <v>0</v>
      </c>
      <c r="AA488" s="10">
        <f t="shared" si="463"/>
        <v>0</v>
      </c>
      <c r="AB488" s="10">
        <f t="shared" si="463"/>
        <v>0</v>
      </c>
      <c r="AC488" s="10">
        <f t="shared" si="463"/>
        <v>0</v>
      </c>
      <c r="AD488" s="10">
        <f t="shared" si="463"/>
        <v>0</v>
      </c>
      <c r="AE488" s="10">
        <f t="shared" si="463"/>
        <v>0</v>
      </c>
      <c r="AF488" s="10">
        <f t="shared" si="463"/>
        <v>0</v>
      </c>
      <c r="AG488" s="10">
        <f t="shared" si="463"/>
        <v>0</v>
      </c>
      <c r="AH488" s="10">
        <f t="shared" si="463"/>
        <v>0</v>
      </c>
      <c r="AI488" s="10">
        <f t="shared" si="463"/>
        <v>0</v>
      </c>
      <c r="AJ488" s="10">
        <f t="shared" si="463"/>
        <v>0</v>
      </c>
      <c r="AK488" s="10">
        <f t="shared" si="463"/>
        <v>0</v>
      </c>
      <c r="AL488" s="10">
        <f t="shared" si="463"/>
        <v>0</v>
      </c>
      <c r="AM488" s="46">
        <f t="shared" si="463"/>
        <v>0</v>
      </c>
      <c r="AN488" s="10">
        <f t="shared" si="463"/>
        <v>0</v>
      </c>
      <c r="AO488" s="10">
        <f t="shared" si="463"/>
        <v>0</v>
      </c>
      <c r="AP488" s="10">
        <f t="shared" si="463"/>
        <v>0</v>
      </c>
      <c r="AQ488" s="10">
        <f t="shared" si="463"/>
        <v>0</v>
      </c>
      <c r="AR488" s="10">
        <f t="shared" si="463"/>
        <v>0</v>
      </c>
      <c r="AS488" s="10">
        <f t="shared" si="463"/>
        <v>0</v>
      </c>
      <c r="AT488" s="10">
        <f t="shared" si="463"/>
        <v>0</v>
      </c>
      <c r="AU488" s="10">
        <f t="shared" si="463"/>
        <v>0</v>
      </c>
      <c r="AV488" s="10">
        <f t="shared" si="463"/>
        <v>0</v>
      </c>
      <c r="AW488" s="10">
        <f t="shared" si="463"/>
        <v>0</v>
      </c>
      <c r="AX488" s="10">
        <f t="shared" si="463"/>
        <v>0</v>
      </c>
    </row>
    <row r="489" spans="1:50" x14ac:dyDescent="0.2">
      <c r="B489" s="101"/>
      <c r="C489" s="8" t="s">
        <v>41</v>
      </c>
      <c r="D489" s="74">
        <f>COUNTIF($C$5:$C$132,"ISJO")</f>
        <v>4</v>
      </c>
      <c r="F489" s="10">
        <f>F684</f>
        <v>425296</v>
      </c>
      <c r="G489" s="10">
        <f t="shared" ref="G489:AX489" si="464">G684</f>
        <v>190086</v>
      </c>
      <c r="H489" s="81">
        <f t="shared" si="464"/>
        <v>2.2373872878591796</v>
      </c>
      <c r="I489" s="10">
        <f t="shared" si="464"/>
        <v>5655.8</v>
      </c>
      <c r="J489" s="10">
        <f t="shared" si="464"/>
        <v>942.90000000000009</v>
      </c>
      <c r="K489" s="10">
        <f t="shared" si="464"/>
        <v>1967.9099999999999</v>
      </c>
      <c r="L489" s="10">
        <f t="shared" si="464"/>
        <v>0</v>
      </c>
      <c r="M489" s="10">
        <f t="shared" si="464"/>
        <v>176223</v>
      </c>
      <c r="N489" s="10">
        <f t="shared" si="464"/>
        <v>177180</v>
      </c>
      <c r="O489" s="10">
        <f t="shared" si="464"/>
        <v>35214</v>
      </c>
      <c r="P489" s="10">
        <f t="shared" si="464"/>
        <v>89076</v>
      </c>
      <c r="Q489" s="10">
        <f t="shared" si="464"/>
        <v>190086</v>
      </c>
      <c r="R489" s="10">
        <f t="shared" si="464"/>
        <v>0</v>
      </c>
      <c r="S489" s="10">
        <f t="shared" si="464"/>
        <v>0</v>
      </c>
      <c r="T489" s="10">
        <f t="shared" si="464"/>
        <v>0</v>
      </c>
      <c r="U489" s="10">
        <f t="shared" si="464"/>
        <v>0</v>
      </c>
      <c r="V489" s="10">
        <f t="shared" si="464"/>
        <v>0</v>
      </c>
      <c r="W489" s="10">
        <f t="shared" si="464"/>
        <v>0</v>
      </c>
      <c r="X489" s="10">
        <f t="shared" si="464"/>
        <v>0</v>
      </c>
      <c r="Y489" s="10">
        <f t="shared" si="464"/>
        <v>0</v>
      </c>
      <c r="Z489" s="10">
        <f t="shared" si="464"/>
        <v>0</v>
      </c>
      <c r="AA489" s="10">
        <f t="shared" si="464"/>
        <v>0</v>
      </c>
      <c r="AB489" s="10">
        <f t="shared" si="464"/>
        <v>0</v>
      </c>
      <c r="AC489" s="10">
        <f t="shared" si="464"/>
        <v>0</v>
      </c>
      <c r="AD489" s="10">
        <f t="shared" si="464"/>
        <v>0</v>
      </c>
      <c r="AE489" s="10">
        <f t="shared" si="464"/>
        <v>0</v>
      </c>
      <c r="AF489" s="10">
        <f t="shared" si="464"/>
        <v>0</v>
      </c>
      <c r="AG489" s="10">
        <f t="shared" si="464"/>
        <v>0</v>
      </c>
      <c r="AH489" s="10">
        <f t="shared" si="464"/>
        <v>0</v>
      </c>
      <c r="AI489" s="10">
        <f t="shared" si="464"/>
        <v>0</v>
      </c>
      <c r="AJ489" s="10">
        <f t="shared" si="464"/>
        <v>0</v>
      </c>
      <c r="AK489" s="10">
        <f t="shared" si="464"/>
        <v>0</v>
      </c>
      <c r="AL489" s="10">
        <f t="shared" si="464"/>
        <v>0</v>
      </c>
      <c r="AM489" s="46">
        <f t="shared" si="464"/>
        <v>0</v>
      </c>
      <c r="AN489" s="10">
        <f t="shared" si="464"/>
        <v>0</v>
      </c>
      <c r="AO489" s="10">
        <f t="shared" si="464"/>
        <v>0</v>
      </c>
      <c r="AP489" s="10">
        <f t="shared" si="464"/>
        <v>0</v>
      </c>
      <c r="AQ489" s="10">
        <f t="shared" si="464"/>
        <v>0</v>
      </c>
      <c r="AR489" s="10">
        <f t="shared" si="464"/>
        <v>0</v>
      </c>
      <c r="AS489" s="10">
        <f t="shared" si="464"/>
        <v>0</v>
      </c>
      <c r="AT489" s="10">
        <f t="shared" si="464"/>
        <v>0</v>
      </c>
      <c r="AU489" s="10">
        <f t="shared" si="464"/>
        <v>0</v>
      </c>
      <c r="AV489" s="10">
        <f t="shared" si="464"/>
        <v>0</v>
      </c>
      <c r="AW489" s="10">
        <f t="shared" si="464"/>
        <v>0</v>
      </c>
      <c r="AX489" s="10">
        <f t="shared" si="464"/>
        <v>0</v>
      </c>
    </row>
    <row r="490" spans="1:50" x14ac:dyDescent="0.2">
      <c r="B490" s="101"/>
      <c r="C490" s="8" t="s">
        <v>193</v>
      </c>
      <c r="D490" s="74">
        <f>COUNTIF($C$5:$C$132,"MSWA")</f>
        <v>3</v>
      </c>
      <c r="F490" s="10">
        <f>F695</f>
        <v>335889</v>
      </c>
      <c r="G490" s="10">
        <f t="shared" ref="G490:AX490" si="465">G695</f>
        <v>126229</v>
      </c>
      <c r="H490" s="81">
        <f t="shared" si="465"/>
        <v>2.6609495440825799</v>
      </c>
      <c r="I490" s="10">
        <f t="shared" si="465"/>
        <v>3068.3</v>
      </c>
      <c r="J490" s="10">
        <f t="shared" si="465"/>
        <v>1115.5</v>
      </c>
      <c r="K490" s="10">
        <f t="shared" si="465"/>
        <v>1303.42</v>
      </c>
      <c r="L490" s="10">
        <f t="shared" si="465"/>
        <v>0</v>
      </c>
      <c r="M490" s="10">
        <f t="shared" si="465"/>
        <v>116321.01000000001</v>
      </c>
      <c r="N490" s="10">
        <f t="shared" si="465"/>
        <v>109530</v>
      </c>
      <c r="O490" s="10">
        <f t="shared" si="465"/>
        <v>104815</v>
      </c>
      <c r="P490" s="10">
        <f t="shared" si="465"/>
        <v>0</v>
      </c>
      <c r="Q490" s="10">
        <f t="shared" si="465"/>
        <v>126229</v>
      </c>
      <c r="R490" s="10">
        <f t="shared" si="465"/>
        <v>0</v>
      </c>
      <c r="S490" s="10">
        <f t="shared" si="465"/>
        <v>0</v>
      </c>
      <c r="T490" s="10">
        <f t="shared" si="465"/>
        <v>0</v>
      </c>
      <c r="U490" s="10">
        <f t="shared" si="465"/>
        <v>0</v>
      </c>
      <c r="V490" s="10">
        <f t="shared" si="465"/>
        <v>0</v>
      </c>
      <c r="W490" s="10">
        <f t="shared" si="465"/>
        <v>0</v>
      </c>
      <c r="X490" s="10">
        <f t="shared" si="465"/>
        <v>0</v>
      </c>
      <c r="Y490" s="10">
        <f t="shared" si="465"/>
        <v>0</v>
      </c>
      <c r="Z490" s="10">
        <f t="shared" si="465"/>
        <v>0</v>
      </c>
      <c r="AA490" s="10">
        <f t="shared" si="465"/>
        <v>0</v>
      </c>
      <c r="AB490" s="10">
        <f t="shared" si="465"/>
        <v>0</v>
      </c>
      <c r="AC490" s="10">
        <f t="shared" si="465"/>
        <v>0</v>
      </c>
      <c r="AD490" s="10">
        <f t="shared" si="465"/>
        <v>0</v>
      </c>
      <c r="AE490" s="10">
        <f t="shared" si="465"/>
        <v>0</v>
      </c>
      <c r="AF490" s="10">
        <f t="shared" si="465"/>
        <v>0</v>
      </c>
      <c r="AG490" s="10">
        <f t="shared" si="465"/>
        <v>0</v>
      </c>
      <c r="AH490" s="10">
        <f t="shared" si="465"/>
        <v>0</v>
      </c>
      <c r="AI490" s="10">
        <f t="shared" si="465"/>
        <v>0</v>
      </c>
      <c r="AJ490" s="10">
        <f t="shared" si="465"/>
        <v>0</v>
      </c>
      <c r="AK490" s="10">
        <f t="shared" si="465"/>
        <v>0</v>
      </c>
      <c r="AL490" s="10">
        <f t="shared" si="465"/>
        <v>0</v>
      </c>
      <c r="AM490" s="46">
        <f t="shared" si="465"/>
        <v>0</v>
      </c>
      <c r="AN490" s="10">
        <f t="shared" si="465"/>
        <v>0</v>
      </c>
      <c r="AO490" s="10">
        <f t="shared" si="465"/>
        <v>0</v>
      </c>
      <c r="AP490" s="10">
        <f t="shared" si="465"/>
        <v>0</v>
      </c>
      <c r="AQ490" s="10">
        <f t="shared" si="465"/>
        <v>0</v>
      </c>
      <c r="AR490" s="10">
        <f t="shared" si="465"/>
        <v>0</v>
      </c>
      <c r="AS490" s="10">
        <f t="shared" si="465"/>
        <v>0</v>
      </c>
      <c r="AT490" s="10">
        <f t="shared" si="465"/>
        <v>0</v>
      </c>
      <c r="AU490" s="10">
        <f t="shared" si="465"/>
        <v>0</v>
      </c>
      <c r="AV490" s="10">
        <f t="shared" si="465"/>
        <v>0</v>
      </c>
      <c r="AW490" s="10">
        <f t="shared" si="465"/>
        <v>0</v>
      </c>
      <c r="AX490" s="10">
        <f t="shared" si="465"/>
        <v>0</v>
      </c>
    </row>
    <row r="491" spans="1:50" x14ac:dyDescent="0.2">
      <c r="B491" s="101"/>
      <c r="C491" s="8" t="s">
        <v>26</v>
      </c>
      <c r="D491" s="74">
        <f>COUNTIF($C$5:$C$132,"NSROC")</f>
        <v>8</v>
      </c>
      <c r="F491" s="10">
        <f>F711</f>
        <v>655817</v>
      </c>
      <c r="G491" s="10">
        <f t="shared" ref="G491:AX491" si="466">G711</f>
        <v>258149</v>
      </c>
      <c r="H491" s="81">
        <f t="shared" si="466"/>
        <v>2.5404591921719626</v>
      </c>
      <c r="I491" s="10">
        <f t="shared" si="466"/>
        <v>638.70000000000005</v>
      </c>
      <c r="J491" s="10">
        <f t="shared" si="466"/>
        <v>25946.800000000003</v>
      </c>
      <c r="K491" s="10">
        <f t="shared" si="466"/>
        <v>4005.5</v>
      </c>
      <c r="L491" s="10">
        <f t="shared" si="466"/>
        <v>0</v>
      </c>
      <c r="M491" s="10">
        <f t="shared" si="466"/>
        <v>236763</v>
      </c>
      <c r="N491" s="10">
        <f t="shared" si="466"/>
        <v>228919</v>
      </c>
      <c r="O491" s="10">
        <f t="shared" si="466"/>
        <v>150489</v>
      </c>
      <c r="P491" s="10">
        <f t="shared" si="466"/>
        <v>0</v>
      </c>
      <c r="Q491" s="10">
        <f t="shared" si="466"/>
        <v>258149</v>
      </c>
      <c r="R491" s="10">
        <f t="shared" si="466"/>
        <v>0</v>
      </c>
      <c r="S491" s="10">
        <f t="shared" si="466"/>
        <v>0</v>
      </c>
      <c r="T491" s="10">
        <f t="shared" si="466"/>
        <v>0</v>
      </c>
      <c r="U491" s="10">
        <f t="shared" si="466"/>
        <v>0</v>
      </c>
      <c r="V491" s="10">
        <f t="shared" si="466"/>
        <v>0</v>
      </c>
      <c r="W491" s="10">
        <f t="shared" si="466"/>
        <v>0</v>
      </c>
      <c r="X491" s="10">
        <f t="shared" si="466"/>
        <v>0</v>
      </c>
      <c r="Y491" s="10">
        <f t="shared" si="466"/>
        <v>0</v>
      </c>
      <c r="Z491" s="10">
        <f t="shared" si="466"/>
        <v>0</v>
      </c>
      <c r="AA491" s="10">
        <f t="shared" si="466"/>
        <v>0</v>
      </c>
      <c r="AB491" s="10">
        <f t="shared" si="466"/>
        <v>0</v>
      </c>
      <c r="AC491" s="10">
        <f t="shared" si="466"/>
        <v>0</v>
      </c>
      <c r="AD491" s="10">
        <f t="shared" si="466"/>
        <v>0</v>
      </c>
      <c r="AE491" s="10">
        <f t="shared" si="466"/>
        <v>0</v>
      </c>
      <c r="AF491" s="10">
        <f t="shared" si="466"/>
        <v>0</v>
      </c>
      <c r="AG491" s="10">
        <f t="shared" si="466"/>
        <v>0</v>
      </c>
      <c r="AH491" s="10">
        <f t="shared" si="466"/>
        <v>0</v>
      </c>
      <c r="AI491" s="10">
        <f t="shared" si="466"/>
        <v>0</v>
      </c>
      <c r="AJ491" s="10">
        <f t="shared" si="466"/>
        <v>0</v>
      </c>
      <c r="AK491" s="10">
        <f t="shared" si="466"/>
        <v>0</v>
      </c>
      <c r="AL491" s="10">
        <f t="shared" si="466"/>
        <v>0</v>
      </c>
      <c r="AM491" s="46">
        <f t="shared" si="466"/>
        <v>0</v>
      </c>
      <c r="AN491" s="10">
        <f t="shared" si="466"/>
        <v>0</v>
      </c>
      <c r="AO491" s="10">
        <f t="shared" si="466"/>
        <v>0</v>
      </c>
      <c r="AP491" s="10">
        <f t="shared" si="466"/>
        <v>0</v>
      </c>
      <c r="AQ491" s="10">
        <f t="shared" si="466"/>
        <v>0</v>
      </c>
      <c r="AR491" s="10">
        <f t="shared" si="466"/>
        <v>0</v>
      </c>
      <c r="AS491" s="10">
        <f t="shared" si="466"/>
        <v>0</v>
      </c>
      <c r="AT491" s="10">
        <f t="shared" si="466"/>
        <v>0</v>
      </c>
      <c r="AU491" s="10">
        <f t="shared" si="466"/>
        <v>0</v>
      </c>
      <c r="AV491" s="10">
        <f t="shared" si="466"/>
        <v>0</v>
      </c>
      <c r="AW491" s="10">
        <f t="shared" si="466"/>
        <v>0</v>
      </c>
      <c r="AX491" s="10">
        <f t="shared" si="466"/>
        <v>0</v>
      </c>
    </row>
    <row r="492" spans="1:50" x14ac:dyDescent="0.2">
      <c r="B492" s="101"/>
      <c r="C492" s="8" t="s">
        <v>19</v>
      </c>
      <c r="D492" s="74">
        <f>COUNTIF($C$5:$C$132,"WSROC")</f>
        <v>9</v>
      </c>
      <c r="F492" s="10">
        <f>F728</f>
        <v>1874939</v>
      </c>
      <c r="G492" s="10">
        <f t="shared" ref="G492:AX492" si="467">G728</f>
        <v>670140</v>
      </c>
      <c r="H492" s="81">
        <f t="shared" si="467"/>
        <v>2.7978317963410633</v>
      </c>
      <c r="I492" s="10">
        <f t="shared" si="467"/>
        <v>5799.6999999999989</v>
      </c>
      <c r="J492" s="10">
        <f t="shared" si="467"/>
        <v>12014.999999999998</v>
      </c>
      <c r="K492" s="10">
        <f t="shared" si="467"/>
        <v>4436.8</v>
      </c>
      <c r="L492" s="10">
        <f t="shared" si="467"/>
        <v>0</v>
      </c>
      <c r="M492" s="10">
        <f t="shared" si="467"/>
        <v>620607</v>
      </c>
      <c r="N492" s="10">
        <f t="shared" si="467"/>
        <v>606585</v>
      </c>
      <c r="O492" s="10">
        <f t="shared" si="467"/>
        <v>277657</v>
      </c>
      <c r="P492" s="10">
        <f t="shared" si="467"/>
        <v>66673</v>
      </c>
      <c r="Q492" s="10">
        <f t="shared" si="467"/>
        <v>670140</v>
      </c>
      <c r="R492" s="10">
        <f t="shared" si="467"/>
        <v>0</v>
      </c>
      <c r="S492" s="10">
        <f t="shared" si="467"/>
        <v>0</v>
      </c>
      <c r="T492" s="10">
        <f t="shared" si="467"/>
        <v>0</v>
      </c>
      <c r="U492" s="10">
        <f t="shared" si="467"/>
        <v>0</v>
      </c>
      <c r="V492" s="10">
        <f t="shared" si="467"/>
        <v>0</v>
      </c>
      <c r="W492" s="10">
        <f t="shared" si="467"/>
        <v>0</v>
      </c>
      <c r="X492" s="10">
        <f t="shared" si="467"/>
        <v>0</v>
      </c>
      <c r="Y492" s="10">
        <f t="shared" si="467"/>
        <v>0</v>
      </c>
      <c r="Z492" s="10">
        <f t="shared" si="467"/>
        <v>0</v>
      </c>
      <c r="AA492" s="10">
        <f t="shared" si="467"/>
        <v>0</v>
      </c>
      <c r="AB492" s="10">
        <f t="shared" si="467"/>
        <v>0</v>
      </c>
      <c r="AC492" s="10">
        <f t="shared" si="467"/>
        <v>0</v>
      </c>
      <c r="AD492" s="10">
        <f t="shared" si="467"/>
        <v>0</v>
      </c>
      <c r="AE492" s="10">
        <f t="shared" si="467"/>
        <v>0</v>
      </c>
      <c r="AF492" s="10">
        <f t="shared" si="467"/>
        <v>0</v>
      </c>
      <c r="AG492" s="10">
        <f t="shared" si="467"/>
        <v>0</v>
      </c>
      <c r="AH492" s="10">
        <f t="shared" si="467"/>
        <v>0</v>
      </c>
      <c r="AI492" s="10">
        <f t="shared" si="467"/>
        <v>0</v>
      </c>
      <c r="AJ492" s="10">
        <f t="shared" si="467"/>
        <v>0</v>
      </c>
      <c r="AK492" s="10">
        <f t="shared" si="467"/>
        <v>0</v>
      </c>
      <c r="AL492" s="10">
        <f t="shared" si="467"/>
        <v>0</v>
      </c>
      <c r="AM492" s="46">
        <f t="shared" si="467"/>
        <v>0</v>
      </c>
      <c r="AN492" s="10">
        <f t="shared" si="467"/>
        <v>0</v>
      </c>
      <c r="AO492" s="10">
        <f t="shared" si="467"/>
        <v>0</v>
      </c>
      <c r="AP492" s="10">
        <f t="shared" si="467"/>
        <v>0</v>
      </c>
      <c r="AQ492" s="10">
        <f t="shared" si="467"/>
        <v>0</v>
      </c>
      <c r="AR492" s="10">
        <f t="shared" si="467"/>
        <v>0</v>
      </c>
      <c r="AS492" s="10">
        <f t="shared" si="467"/>
        <v>0</v>
      </c>
      <c r="AT492" s="10">
        <f t="shared" si="467"/>
        <v>0</v>
      </c>
      <c r="AU492" s="10">
        <f t="shared" si="467"/>
        <v>0</v>
      </c>
      <c r="AV492" s="10">
        <f t="shared" si="467"/>
        <v>0</v>
      </c>
      <c r="AW492" s="10">
        <f t="shared" si="467"/>
        <v>0</v>
      </c>
      <c r="AX492" s="10">
        <f t="shared" si="467"/>
        <v>0</v>
      </c>
    </row>
    <row r="493" spans="1:50" x14ac:dyDescent="0.2">
      <c r="B493" s="101"/>
      <c r="C493" s="74" t="s">
        <v>47</v>
      </c>
      <c r="D493" s="74">
        <v>2</v>
      </c>
      <c r="F493" s="10">
        <f>F739</f>
        <v>321808</v>
      </c>
      <c r="G493" s="10">
        <f t="shared" ref="G493:AX493" si="468">G739</f>
        <v>131210</v>
      </c>
      <c r="H493" s="81">
        <f t="shared" si="468"/>
        <v>2.4526179407057387</v>
      </c>
      <c r="I493" s="10">
        <f t="shared" si="468"/>
        <v>268.2</v>
      </c>
      <c r="J493" s="10">
        <f t="shared" si="468"/>
        <v>4489.7</v>
      </c>
      <c r="K493" s="10">
        <f t="shared" si="468"/>
        <v>1206</v>
      </c>
      <c r="L493" s="10">
        <f t="shared" si="468"/>
        <v>0</v>
      </c>
      <c r="M493" s="10">
        <f t="shared" si="468"/>
        <v>128858</v>
      </c>
      <c r="N493" s="10">
        <f t="shared" si="468"/>
        <v>128858</v>
      </c>
      <c r="O493" s="10">
        <f t="shared" si="468"/>
        <v>119395</v>
      </c>
      <c r="P493" s="10">
        <f t="shared" si="468"/>
        <v>0</v>
      </c>
      <c r="Q493" s="10">
        <f t="shared" si="468"/>
        <v>131210</v>
      </c>
      <c r="R493" s="10">
        <f t="shared" si="468"/>
        <v>0</v>
      </c>
      <c r="S493" s="10">
        <f t="shared" si="468"/>
        <v>0</v>
      </c>
      <c r="T493" s="10">
        <f t="shared" si="468"/>
        <v>0</v>
      </c>
      <c r="U493" s="10">
        <f t="shared" si="468"/>
        <v>0</v>
      </c>
      <c r="V493" s="10">
        <f t="shared" si="468"/>
        <v>0</v>
      </c>
      <c r="W493" s="10">
        <f t="shared" si="468"/>
        <v>0</v>
      </c>
      <c r="X493" s="10">
        <f t="shared" si="468"/>
        <v>0</v>
      </c>
      <c r="Y493" s="10">
        <f t="shared" si="468"/>
        <v>0</v>
      </c>
      <c r="Z493" s="10">
        <f t="shared" si="468"/>
        <v>0</v>
      </c>
      <c r="AA493" s="10">
        <f t="shared" si="468"/>
        <v>0</v>
      </c>
      <c r="AB493" s="10">
        <f t="shared" si="468"/>
        <v>0</v>
      </c>
      <c r="AC493" s="10">
        <f t="shared" si="468"/>
        <v>0</v>
      </c>
      <c r="AD493" s="10">
        <f t="shared" si="468"/>
        <v>0</v>
      </c>
      <c r="AE493" s="10">
        <f t="shared" si="468"/>
        <v>0</v>
      </c>
      <c r="AF493" s="10">
        <f t="shared" si="468"/>
        <v>0</v>
      </c>
      <c r="AG493" s="10">
        <f t="shared" si="468"/>
        <v>0</v>
      </c>
      <c r="AH493" s="10">
        <f t="shared" si="468"/>
        <v>0</v>
      </c>
      <c r="AI493" s="10">
        <f t="shared" si="468"/>
        <v>0</v>
      </c>
      <c r="AJ493" s="10">
        <f t="shared" si="468"/>
        <v>0</v>
      </c>
      <c r="AK493" s="10">
        <f t="shared" si="468"/>
        <v>0</v>
      </c>
      <c r="AL493" s="10">
        <f t="shared" si="468"/>
        <v>0</v>
      </c>
      <c r="AM493" s="46">
        <f t="shared" si="468"/>
        <v>0</v>
      </c>
      <c r="AN493" s="10">
        <f t="shared" si="468"/>
        <v>0</v>
      </c>
      <c r="AO493" s="10">
        <f t="shared" si="468"/>
        <v>0</v>
      </c>
      <c r="AP493" s="10">
        <f t="shared" si="468"/>
        <v>0</v>
      </c>
      <c r="AQ493" s="10">
        <f t="shared" si="468"/>
        <v>0</v>
      </c>
      <c r="AR493" s="10">
        <f t="shared" si="468"/>
        <v>0</v>
      </c>
      <c r="AS493" s="10">
        <f t="shared" si="468"/>
        <v>0</v>
      </c>
      <c r="AT493" s="10">
        <f t="shared" si="468"/>
        <v>0</v>
      </c>
      <c r="AU493" s="10">
        <f t="shared" si="468"/>
        <v>0</v>
      </c>
      <c r="AV493" s="10">
        <f t="shared" si="468"/>
        <v>0</v>
      </c>
      <c r="AW493" s="10">
        <f t="shared" si="468"/>
        <v>0</v>
      </c>
      <c r="AX493" s="10">
        <f t="shared" si="468"/>
        <v>0</v>
      </c>
    </row>
    <row r="494" spans="1:50" s="111" customFormat="1" x14ac:dyDescent="0.2">
      <c r="B494" s="116"/>
      <c r="C494" s="113"/>
      <c r="D494" s="113">
        <f>SUM(D479:D493)</f>
        <v>128</v>
      </c>
      <c r="E494" s="117"/>
      <c r="F494" s="118">
        <f>SUM(F479:F493)</f>
        <v>8166571</v>
      </c>
      <c r="G494" s="118">
        <f t="shared" ref="G494:AX494" si="469">SUM(G479:G493)</f>
        <v>3366330</v>
      </c>
      <c r="H494" s="124">
        <f>F494/G494</f>
        <v>2.4259567540912506</v>
      </c>
      <c r="I494" s="118">
        <f t="shared" si="469"/>
        <v>707596.39999999991</v>
      </c>
      <c r="J494" s="118">
        <f t="shared" si="469"/>
        <v>101983.59999999999</v>
      </c>
      <c r="K494" s="118">
        <f t="shared" si="469"/>
        <v>55999.81</v>
      </c>
      <c r="L494" s="118">
        <f t="shared" si="469"/>
        <v>0</v>
      </c>
      <c r="M494" s="118">
        <f t="shared" si="469"/>
        <v>2941253.01</v>
      </c>
      <c r="N494" s="118">
        <f t="shared" si="469"/>
        <v>2840157</v>
      </c>
      <c r="O494" s="118">
        <f t="shared" si="469"/>
        <v>1500315</v>
      </c>
      <c r="P494" s="118">
        <f t="shared" si="469"/>
        <v>683571</v>
      </c>
      <c r="Q494" s="118">
        <f t="shared" si="469"/>
        <v>2995336</v>
      </c>
      <c r="R494" s="118">
        <f t="shared" si="469"/>
        <v>0</v>
      </c>
      <c r="S494" s="118">
        <f t="shared" si="469"/>
        <v>0</v>
      </c>
      <c r="T494" s="118">
        <f t="shared" si="469"/>
        <v>0</v>
      </c>
      <c r="U494" s="118">
        <f t="shared" si="469"/>
        <v>0</v>
      </c>
      <c r="V494" s="118">
        <f t="shared" si="469"/>
        <v>0</v>
      </c>
      <c r="W494" s="118">
        <f t="shared" si="469"/>
        <v>0</v>
      </c>
      <c r="X494" s="118">
        <f t="shared" si="469"/>
        <v>0</v>
      </c>
      <c r="Y494" s="118">
        <f t="shared" si="469"/>
        <v>0</v>
      </c>
      <c r="Z494" s="118">
        <f t="shared" si="469"/>
        <v>0</v>
      </c>
      <c r="AA494" s="118">
        <f t="shared" si="469"/>
        <v>0</v>
      </c>
      <c r="AB494" s="118">
        <f t="shared" si="469"/>
        <v>0</v>
      </c>
      <c r="AC494" s="118">
        <f t="shared" si="469"/>
        <v>0</v>
      </c>
      <c r="AD494" s="118">
        <f t="shared" si="469"/>
        <v>0</v>
      </c>
      <c r="AE494" s="118">
        <f t="shared" si="469"/>
        <v>0</v>
      </c>
      <c r="AF494" s="118">
        <f t="shared" si="469"/>
        <v>0</v>
      </c>
      <c r="AG494" s="118">
        <f t="shared" si="469"/>
        <v>0</v>
      </c>
      <c r="AH494" s="118">
        <f t="shared" si="469"/>
        <v>0</v>
      </c>
      <c r="AI494" s="118">
        <f t="shared" si="469"/>
        <v>0</v>
      </c>
      <c r="AJ494" s="118">
        <f t="shared" si="469"/>
        <v>0</v>
      </c>
      <c r="AK494" s="118">
        <f t="shared" si="469"/>
        <v>0</v>
      </c>
      <c r="AL494" s="118">
        <f t="shared" si="469"/>
        <v>0</v>
      </c>
      <c r="AM494" s="119">
        <f t="shared" si="469"/>
        <v>0</v>
      </c>
      <c r="AN494" s="118">
        <f t="shared" si="469"/>
        <v>0</v>
      </c>
      <c r="AO494" s="118">
        <f t="shared" si="469"/>
        <v>0</v>
      </c>
      <c r="AP494" s="118">
        <f t="shared" si="469"/>
        <v>0</v>
      </c>
      <c r="AQ494" s="118">
        <f t="shared" si="469"/>
        <v>0</v>
      </c>
      <c r="AR494" s="118">
        <f t="shared" si="469"/>
        <v>0</v>
      </c>
      <c r="AS494" s="118">
        <f t="shared" si="469"/>
        <v>0</v>
      </c>
      <c r="AT494" s="118">
        <f t="shared" si="469"/>
        <v>0</v>
      </c>
      <c r="AU494" s="118">
        <f t="shared" si="469"/>
        <v>0</v>
      </c>
      <c r="AV494" s="118">
        <f t="shared" si="469"/>
        <v>0</v>
      </c>
      <c r="AW494" s="118">
        <f t="shared" si="469"/>
        <v>0</v>
      </c>
      <c r="AX494" s="118">
        <f t="shared" si="469"/>
        <v>0</v>
      </c>
    </row>
    <row r="496" spans="1:50" ht="13.5" thickBot="1" x14ac:dyDescent="0.25">
      <c r="A496" s="25"/>
      <c r="B496" s="25"/>
      <c r="C496" s="26" t="s">
        <v>20</v>
      </c>
      <c r="D496" s="26"/>
    </row>
    <row r="497" spans="1:50" ht="13.5" thickTop="1" x14ac:dyDescent="0.2">
      <c r="A497" s="8">
        <v>10250</v>
      </c>
      <c r="B497" s="89" t="str">
        <f t="shared" ref="B497:B503" si="470">VLOOKUP($A497,$A$5:$K$132,2,FALSE)</f>
        <v>Ballina</v>
      </c>
      <c r="C497" s="9" t="str">
        <f t="shared" ref="C497:C503" si="471">VLOOKUP($A497,$A$5:$K$133,3,FALSE)</f>
        <v>NEWF</v>
      </c>
      <c r="D497" s="51" t="str">
        <f t="shared" ref="D497:D503" si="472">VLOOKUP($A497,$A$5:$K$133,4,FALSE)</f>
        <v>R</v>
      </c>
      <c r="E497" s="10" t="str">
        <f t="shared" ref="E497:E503" si="473">VLOOKUP($A497,$A$5:$AX$132,5,FALSE)</f>
        <v>NRJO</v>
      </c>
      <c r="F497" s="10">
        <f t="shared" ref="F497:F503" si="474">VLOOKUP($A497,$A$5:$AX$132,6,FALSE)</f>
        <v>45217</v>
      </c>
      <c r="G497" s="10">
        <f t="shared" ref="G497:G503" si="475">VLOOKUP($A497,$A$5:$AX$132,7,FALSE)</f>
        <v>19922</v>
      </c>
      <c r="H497" s="10">
        <f t="shared" ref="H497:H503" si="476">VLOOKUP($A497,$A$5:$AX$132,8,FALSE)</f>
        <v>2.2697018371649431</v>
      </c>
      <c r="I497" s="10">
        <f t="shared" ref="I497:I503" si="477">VLOOKUP($A497,$A$5:$AX$132,9,FALSE)</f>
        <v>484.9</v>
      </c>
      <c r="J497" s="10">
        <f t="shared" ref="J497:J503" si="478">VLOOKUP($A497,$A$5:$AX$132,10,FALSE)</f>
        <v>93.2</v>
      </c>
      <c r="K497" s="10">
        <f t="shared" ref="K497:K503" si="479">VLOOKUP($A497,$A$5:$AX$132,11,FALSE)</f>
        <v>407</v>
      </c>
      <c r="L497" s="10" t="str">
        <f t="shared" ref="L497:L503" si="480">VLOOKUP($A497,$A$4:$AX$132,12,FALSE)</f>
        <v>Y</v>
      </c>
      <c r="M497" s="10">
        <f t="shared" ref="M497:M503" si="481">VLOOKUP($A497,$A$4:$AX$132,13,FALSE)</f>
        <v>18740</v>
      </c>
      <c r="N497" s="10">
        <f t="shared" ref="N497:N503" si="482">VLOOKUP($A497,$A$4:$AX$132,14,FALSE)</f>
        <v>17191</v>
      </c>
      <c r="O497" s="10">
        <f t="shared" ref="O497:O503" si="483">VLOOKUP($A497,$A$4:$AX$132,15,FALSE)</f>
        <v>0</v>
      </c>
      <c r="P497" s="10">
        <f t="shared" ref="P497:P503" si="484">VLOOKUP($A497,$A$4:$AX$132,16,FALSE)</f>
        <v>14700</v>
      </c>
      <c r="Q497" s="10">
        <f t="shared" ref="Q497:Q503" si="485">VLOOKUP($A497,$A$4:$AX$132,17,FALSE)</f>
        <v>0</v>
      </c>
      <c r="R497" s="10" t="str">
        <f t="shared" ref="R497:R503" si="486">VLOOKUP($A497,$A$4:$AX$132,18,FALSE)</f>
        <v>Yes</v>
      </c>
      <c r="S497" s="10" t="str">
        <f t="shared" ref="S497:S503" si="487">VLOOKUP($A497,$A$4:$AX$132,19,FALSE)</f>
        <v>Ballina Waste Management Centre, 167 Southern Cross Drive, Ballina, NSW, 2478</v>
      </c>
      <c r="T497" s="10">
        <f t="shared" ref="T497:T503" si="488">VLOOKUP($A497,$A$4:$AX$132,20,FALSE)</f>
        <v>0</v>
      </c>
      <c r="U497" s="10">
        <f t="shared" ref="U497:U503" si="489">VLOOKUP($A497,$A$4:$AX$132,21,FALSE)</f>
        <v>0</v>
      </c>
      <c r="V497" s="10">
        <f t="shared" ref="V497:V503" si="490">VLOOKUP($A497,$A$4:$AX$132,22,FALSE)</f>
        <v>0</v>
      </c>
      <c r="W497" s="10">
        <f t="shared" ref="W497:W503" si="491">VLOOKUP($A497,$A$4:$AX$132,23,FALSE)</f>
        <v>0</v>
      </c>
      <c r="X497" s="10">
        <f t="shared" ref="X497:X503" si="492">VLOOKUP($A497,$A$4:$AX$132,24,FALSE)</f>
        <v>0</v>
      </c>
      <c r="Y497" s="10">
        <f t="shared" ref="Y497:Y503" si="493">VLOOKUP($A497,$A$4:$AX$132,25,FALSE)</f>
        <v>0</v>
      </c>
      <c r="Z497" s="10">
        <f t="shared" ref="Z497:Z503" si="494">VLOOKUP($A497,$A$4:$AX$132,26,FALSE)</f>
        <v>0</v>
      </c>
      <c r="AA497" s="10">
        <f t="shared" ref="AA497:AA503" si="495">VLOOKUP($A497,$A$4:$AX$132,27,FALSE)</f>
        <v>0</v>
      </c>
      <c r="AB497" s="10">
        <f t="shared" ref="AB497:AB503" si="496">VLOOKUP($A497,$A$4:$AX$132,28,FALSE)</f>
        <v>0</v>
      </c>
      <c r="AC497" s="10">
        <f t="shared" ref="AC497:AC503" si="497">VLOOKUP($A497,$A$4:$AX$132,29,FALSE)</f>
        <v>0</v>
      </c>
      <c r="AD497" s="10">
        <f t="shared" ref="AD497:AD503" si="498">VLOOKUP($A497,$A$4:$AX$132,30,FALSE)</f>
        <v>0</v>
      </c>
      <c r="AE497" s="10">
        <f t="shared" ref="AE497:AE503" si="499">VLOOKUP($A497,$A$4:$AX$132,31,FALSE)</f>
        <v>0</v>
      </c>
      <c r="AF497" s="10">
        <f t="shared" ref="AF497:AF503" si="500">VLOOKUP($A497,$A$4:$AX$132,32,FALSE)</f>
        <v>0</v>
      </c>
      <c r="AG497" s="10">
        <f t="shared" ref="AG497:AG503" si="501">VLOOKUP($A497,$A$4:$AX$132,33,FALSE)</f>
        <v>0</v>
      </c>
      <c r="AH497" s="10">
        <f t="shared" ref="AH497:AH503" si="502">VLOOKUP($A497,$A$4:$AX$132,34,FALSE)</f>
        <v>0</v>
      </c>
      <c r="AI497" s="10">
        <f t="shared" ref="AI497:AI503" si="503">VLOOKUP($A497,$A$4:$AX$132,35,FALSE)</f>
        <v>0</v>
      </c>
      <c r="AJ497" s="10">
        <f t="shared" ref="AJ497:AJ503" si="504">VLOOKUP($A497,$A$4:$AX$132,36,FALSE)</f>
        <v>0</v>
      </c>
      <c r="AK497" s="10">
        <f t="shared" ref="AK497:AK503" si="505">VLOOKUP($A497,$A$4:$AX$132,37,FALSE)</f>
        <v>0</v>
      </c>
      <c r="AL497" s="10">
        <f t="shared" ref="AL497:AL503" si="506">VLOOKUP($A497,$A$4:$AX$132,38,FALSE)</f>
        <v>0</v>
      </c>
      <c r="AM497" s="10">
        <f t="shared" ref="AM497:AM503" si="507">VLOOKUP($A497,$A$4:$AX$132,39,FALSE)</f>
        <v>0</v>
      </c>
      <c r="AN497" s="46">
        <f t="shared" ref="AN497:AN503" si="508">VLOOKUP($A497,$A$4:$AX$132,40,FALSE)</f>
        <v>0</v>
      </c>
      <c r="AO497" s="10">
        <f t="shared" ref="AO497:AO503" si="509">VLOOKUP($A497,$A$4:$AX$132,41,FALSE)</f>
        <v>0</v>
      </c>
      <c r="AP497" s="10">
        <f t="shared" ref="AP497:AP503" si="510">VLOOKUP($A497,$A$4:$AX$132,42,FALSE)</f>
        <v>0</v>
      </c>
      <c r="AQ497" s="10">
        <f t="shared" ref="AQ497:AQ503" si="511">VLOOKUP($A497,$A$4:$AX$132,43,FALSE)</f>
        <v>0</v>
      </c>
      <c r="AR497" s="10">
        <f t="shared" ref="AR497:AR503" si="512">VLOOKUP($A497,$A$4:$AX$132,44,FALSE)</f>
        <v>0</v>
      </c>
      <c r="AS497" s="10">
        <f t="shared" ref="AS497:AS503" si="513">VLOOKUP($A497,$A$4:$AX$132,45,FALSE)</f>
        <v>0</v>
      </c>
      <c r="AT497" s="10">
        <f t="shared" ref="AT497:AT503" si="514">VLOOKUP($A497,$A$4:$AX$132,46,FALSE)</f>
        <v>0</v>
      </c>
      <c r="AU497" s="10">
        <f t="shared" ref="AU497:AU503" si="515">VLOOKUP($A497,$A$4:$AX$132,47,FALSE)</f>
        <v>0</v>
      </c>
      <c r="AV497" s="10">
        <f t="shared" ref="AV497:AV503" si="516">VLOOKUP($A497,$A$4:$AX$132,48,FALSE)</f>
        <v>0</v>
      </c>
      <c r="AW497" s="10">
        <f t="shared" ref="AW497:AW503" si="517">VLOOKUP($A497,$A$4:$AX$132,49,FALSE)</f>
        <v>0</v>
      </c>
      <c r="AX497" s="10">
        <f t="shared" ref="AX497:AX503" si="518">VLOOKUP($A497,$A$4:$AX$132,50,FALSE)</f>
        <v>0</v>
      </c>
    </row>
    <row r="498" spans="1:50" x14ac:dyDescent="0.2">
      <c r="A498" s="8">
        <v>11350</v>
      </c>
      <c r="B498" s="89" t="str">
        <f t="shared" si="470"/>
        <v>Byron</v>
      </c>
      <c r="C498" s="9" t="str">
        <f t="shared" si="471"/>
        <v>NEWF</v>
      </c>
      <c r="D498" s="51" t="str">
        <f t="shared" si="472"/>
        <v>R</v>
      </c>
      <c r="E498" s="10" t="str">
        <f t="shared" si="473"/>
        <v>NRJO</v>
      </c>
      <c r="F498" s="10">
        <f t="shared" si="474"/>
        <v>35773</v>
      </c>
      <c r="G498" s="10">
        <f t="shared" si="475"/>
        <v>14537</v>
      </c>
      <c r="H498" s="10">
        <f t="shared" si="476"/>
        <v>2.4608241040104559</v>
      </c>
      <c r="I498" s="10">
        <f t="shared" si="477"/>
        <v>565.79999999999995</v>
      </c>
      <c r="J498" s="10">
        <f t="shared" si="478"/>
        <v>63.2</v>
      </c>
      <c r="K498" s="10">
        <f t="shared" si="479"/>
        <v>402</v>
      </c>
      <c r="L498" s="10" t="str">
        <f t="shared" si="480"/>
        <v>Y</v>
      </c>
      <c r="M498" s="10">
        <f t="shared" si="481"/>
        <v>14175</v>
      </c>
      <c r="N498" s="10">
        <f t="shared" si="482"/>
        <v>14109</v>
      </c>
      <c r="O498" s="10">
        <f t="shared" si="483"/>
        <v>0</v>
      </c>
      <c r="P498" s="10">
        <f t="shared" si="484"/>
        <v>10866</v>
      </c>
      <c r="Q498" s="10">
        <f t="shared" si="485"/>
        <v>14537</v>
      </c>
      <c r="R498" s="10" t="str">
        <f t="shared" si="486"/>
        <v>Yes</v>
      </c>
      <c r="S498" s="10" t="str">
        <f t="shared" si="487"/>
        <v>Byron Resource Recovery Centre, 115 The Manse Rd Myocum 2482</v>
      </c>
      <c r="T498" s="10">
        <f t="shared" si="488"/>
        <v>0</v>
      </c>
      <c r="U498" s="10">
        <f t="shared" si="489"/>
        <v>0</v>
      </c>
      <c r="V498" s="10">
        <f t="shared" si="490"/>
        <v>0</v>
      </c>
      <c r="W498" s="10">
        <f t="shared" si="491"/>
        <v>0</v>
      </c>
      <c r="X498" s="10">
        <f t="shared" si="492"/>
        <v>0</v>
      </c>
      <c r="Y498" s="10">
        <f t="shared" si="493"/>
        <v>0</v>
      </c>
      <c r="Z498" s="10">
        <f t="shared" si="494"/>
        <v>0</v>
      </c>
      <c r="AA498" s="10">
        <f t="shared" si="495"/>
        <v>0</v>
      </c>
      <c r="AB498" s="10">
        <f t="shared" si="496"/>
        <v>0</v>
      </c>
      <c r="AC498" s="10">
        <f t="shared" si="497"/>
        <v>0</v>
      </c>
      <c r="AD498" s="10">
        <f t="shared" si="498"/>
        <v>0</v>
      </c>
      <c r="AE498" s="10">
        <f t="shared" si="499"/>
        <v>0</v>
      </c>
      <c r="AF498" s="10">
        <f t="shared" si="500"/>
        <v>0</v>
      </c>
      <c r="AG498" s="10">
        <f t="shared" si="501"/>
        <v>0</v>
      </c>
      <c r="AH498" s="10">
        <f t="shared" si="502"/>
        <v>0</v>
      </c>
      <c r="AI498" s="10">
        <f t="shared" si="503"/>
        <v>0</v>
      </c>
      <c r="AJ498" s="10">
        <f t="shared" si="504"/>
        <v>0</v>
      </c>
      <c r="AK498" s="10">
        <f t="shared" si="505"/>
        <v>0</v>
      </c>
      <c r="AL498" s="10">
        <f t="shared" si="506"/>
        <v>0</v>
      </c>
      <c r="AM498" s="10">
        <f t="shared" si="507"/>
        <v>0</v>
      </c>
      <c r="AN498" s="46">
        <f t="shared" si="508"/>
        <v>0</v>
      </c>
      <c r="AO498" s="10">
        <f t="shared" si="509"/>
        <v>0</v>
      </c>
      <c r="AP498" s="10">
        <f t="shared" si="510"/>
        <v>0</v>
      </c>
      <c r="AQ498" s="10">
        <f t="shared" si="511"/>
        <v>0</v>
      </c>
      <c r="AR498" s="10">
        <f t="shared" si="512"/>
        <v>0</v>
      </c>
      <c r="AS498" s="10">
        <f t="shared" si="513"/>
        <v>0</v>
      </c>
      <c r="AT498" s="10">
        <f t="shared" si="514"/>
        <v>0</v>
      </c>
      <c r="AU498" s="10">
        <f t="shared" si="515"/>
        <v>0</v>
      </c>
      <c r="AV498" s="10">
        <f t="shared" si="516"/>
        <v>0</v>
      </c>
      <c r="AW498" s="10">
        <f t="shared" si="517"/>
        <v>0</v>
      </c>
      <c r="AX498" s="10">
        <f t="shared" si="518"/>
        <v>0</v>
      </c>
    </row>
    <row r="499" spans="1:50" x14ac:dyDescent="0.2">
      <c r="A499" s="8">
        <v>11730</v>
      </c>
      <c r="B499" s="89" t="str">
        <f t="shared" si="470"/>
        <v>Clarence Valley</v>
      </c>
      <c r="C499" s="9" t="str">
        <f t="shared" si="471"/>
        <v>NEWF</v>
      </c>
      <c r="D499" s="51" t="str">
        <f t="shared" si="472"/>
        <v>R</v>
      </c>
      <c r="E499" s="10">
        <f t="shared" si="473"/>
        <v>0</v>
      </c>
      <c r="F499" s="10">
        <f t="shared" si="474"/>
        <v>51730</v>
      </c>
      <c r="G499" s="10">
        <f t="shared" si="475"/>
        <v>26792</v>
      </c>
      <c r="H499" s="10">
        <f t="shared" si="476"/>
        <v>1.9308002388772767</v>
      </c>
      <c r="I499" s="10">
        <f t="shared" si="477"/>
        <v>10428.700000000001</v>
      </c>
      <c r="J499" s="10">
        <f t="shared" si="478"/>
        <v>5</v>
      </c>
      <c r="K499" s="10">
        <f t="shared" si="479"/>
        <v>344.5</v>
      </c>
      <c r="L499" s="10" t="str">
        <f t="shared" si="480"/>
        <v>Y</v>
      </c>
      <c r="M499" s="10">
        <f t="shared" si="481"/>
        <v>22713</v>
      </c>
      <c r="N499" s="10">
        <f t="shared" si="482"/>
        <v>22282</v>
      </c>
      <c r="O499" s="10">
        <f t="shared" si="483"/>
        <v>0</v>
      </c>
      <c r="P499" s="10">
        <f t="shared" si="484"/>
        <v>18212</v>
      </c>
      <c r="Q499" s="10">
        <f t="shared" si="485"/>
        <v>26792</v>
      </c>
      <c r="R499" s="10" t="str">
        <f t="shared" si="486"/>
        <v>Yes</v>
      </c>
      <c r="S499" s="10" t="str">
        <f t="shared" si="487"/>
        <v>Grafton Waste Transfer Station</v>
      </c>
      <c r="T499" s="10" t="str">
        <f t="shared" si="488"/>
        <v>Maclean Waste Transfer Station</v>
      </c>
      <c r="U499" s="10" t="str">
        <f t="shared" si="489"/>
        <v>Tyringham Waste Transfer Station</v>
      </c>
      <c r="V499" s="10" t="str">
        <f t="shared" si="490"/>
        <v>Baryulgil Waste Transfer Station</v>
      </c>
      <c r="W499" s="10" t="str">
        <f t="shared" si="491"/>
        <v>Glenreagh Waste Transfer Station</v>
      </c>
      <c r="X499" s="10" t="str">
        <f t="shared" si="492"/>
        <v>Grafton Landfill</v>
      </c>
      <c r="Y499" s="10" t="str">
        <f t="shared" si="493"/>
        <v>Copmanhurst, Iluka and Mini Water Waste Transfer Stations</v>
      </c>
      <c r="Z499" s="10">
        <f t="shared" si="494"/>
        <v>0</v>
      </c>
      <c r="AA499" s="10">
        <f t="shared" si="495"/>
        <v>0</v>
      </c>
      <c r="AB499" s="10">
        <f t="shared" si="496"/>
        <v>0</v>
      </c>
      <c r="AC499" s="10">
        <f t="shared" si="497"/>
        <v>0</v>
      </c>
      <c r="AD499" s="10">
        <f t="shared" si="498"/>
        <v>0</v>
      </c>
      <c r="AE499" s="10">
        <f t="shared" si="499"/>
        <v>0</v>
      </c>
      <c r="AF499" s="10">
        <f t="shared" si="500"/>
        <v>0</v>
      </c>
      <c r="AG499" s="10">
        <f t="shared" si="501"/>
        <v>0</v>
      </c>
      <c r="AH499" s="10">
        <f t="shared" si="502"/>
        <v>0</v>
      </c>
      <c r="AI499" s="10">
        <f t="shared" si="503"/>
        <v>0</v>
      </c>
      <c r="AJ499" s="10">
        <f t="shared" si="504"/>
        <v>0</v>
      </c>
      <c r="AK499" s="10">
        <f t="shared" si="505"/>
        <v>0</v>
      </c>
      <c r="AL499" s="10">
        <f t="shared" si="506"/>
        <v>0</v>
      </c>
      <c r="AM499" s="10">
        <f t="shared" si="507"/>
        <v>0</v>
      </c>
      <c r="AN499" s="46">
        <f t="shared" si="508"/>
        <v>0</v>
      </c>
      <c r="AO499" s="10">
        <f t="shared" si="509"/>
        <v>0</v>
      </c>
      <c r="AP499" s="10">
        <f t="shared" si="510"/>
        <v>0</v>
      </c>
      <c r="AQ499" s="10">
        <f t="shared" si="511"/>
        <v>0</v>
      </c>
      <c r="AR499" s="10">
        <f t="shared" si="512"/>
        <v>0</v>
      </c>
      <c r="AS499" s="10">
        <f t="shared" si="513"/>
        <v>0</v>
      </c>
      <c r="AT499" s="10">
        <f t="shared" si="514"/>
        <v>0</v>
      </c>
      <c r="AU499" s="10">
        <f t="shared" si="515"/>
        <v>0</v>
      </c>
      <c r="AV499" s="10">
        <f t="shared" si="516"/>
        <v>0</v>
      </c>
      <c r="AW499" s="10">
        <f t="shared" si="517"/>
        <v>0</v>
      </c>
      <c r="AX499" s="10">
        <f t="shared" si="518"/>
        <v>0</v>
      </c>
    </row>
    <row r="500" spans="1:50" x14ac:dyDescent="0.2">
      <c r="A500" s="8">
        <v>14550</v>
      </c>
      <c r="B500" s="89" t="str">
        <f t="shared" si="470"/>
        <v>Kyogle</v>
      </c>
      <c r="C500" s="9" t="str">
        <f t="shared" si="471"/>
        <v>NEWF</v>
      </c>
      <c r="D500" s="51" t="str">
        <f t="shared" si="472"/>
        <v>R</v>
      </c>
      <c r="E500" s="10" t="str">
        <f t="shared" si="473"/>
        <v>NRJO</v>
      </c>
      <c r="F500" s="10">
        <f t="shared" si="474"/>
        <v>8788</v>
      </c>
      <c r="G500" s="10">
        <f t="shared" si="475"/>
        <v>4042</v>
      </c>
      <c r="H500" s="10">
        <f t="shared" si="476"/>
        <v>2.1741712023750619</v>
      </c>
      <c r="I500" s="10">
        <f t="shared" si="477"/>
        <v>3584.2</v>
      </c>
      <c r="J500" s="10">
        <f t="shared" si="478"/>
        <v>2.5</v>
      </c>
      <c r="K500" s="10">
        <f t="shared" si="479"/>
        <v>450</v>
      </c>
      <c r="L500" s="10" t="str">
        <f t="shared" si="480"/>
        <v>Y</v>
      </c>
      <c r="M500" s="10">
        <f t="shared" si="481"/>
        <v>1970</v>
      </c>
      <c r="N500" s="10">
        <f t="shared" si="482"/>
        <v>1970</v>
      </c>
      <c r="O500" s="10">
        <f t="shared" si="483"/>
        <v>0</v>
      </c>
      <c r="P500" s="10">
        <f t="shared" si="484"/>
        <v>0</v>
      </c>
      <c r="Q500" s="10">
        <f t="shared" si="485"/>
        <v>0</v>
      </c>
      <c r="R500" s="10" t="str">
        <f t="shared" si="486"/>
        <v>Yes</v>
      </c>
      <c r="S500" s="10" t="str">
        <f t="shared" si="487"/>
        <v>Kyogle Landfill Facility</v>
      </c>
      <c r="T500" s="10">
        <f t="shared" si="488"/>
        <v>0</v>
      </c>
      <c r="U500" s="10">
        <f t="shared" si="489"/>
        <v>0</v>
      </c>
      <c r="V500" s="10">
        <f t="shared" si="490"/>
        <v>0</v>
      </c>
      <c r="W500" s="10">
        <f t="shared" si="491"/>
        <v>0</v>
      </c>
      <c r="X500" s="10">
        <f t="shared" si="492"/>
        <v>0</v>
      </c>
      <c r="Y500" s="10">
        <f t="shared" si="493"/>
        <v>0</v>
      </c>
      <c r="Z500" s="10">
        <f t="shared" si="494"/>
        <v>0</v>
      </c>
      <c r="AA500" s="10">
        <f t="shared" si="495"/>
        <v>0</v>
      </c>
      <c r="AB500" s="10">
        <f t="shared" si="496"/>
        <v>0</v>
      </c>
      <c r="AC500" s="10">
        <f t="shared" si="497"/>
        <v>0</v>
      </c>
      <c r="AD500" s="10">
        <f t="shared" si="498"/>
        <v>0</v>
      </c>
      <c r="AE500" s="10">
        <f t="shared" si="499"/>
        <v>0</v>
      </c>
      <c r="AF500" s="10">
        <f t="shared" si="500"/>
        <v>0</v>
      </c>
      <c r="AG500" s="10">
        <f t="shared" si="501"/>
        <v>0</v>
      </c>
      <c r="AH500" s="10">
        <f t="shared" si="502"/>
        <v>0</v>
      </c>
      <c r="AI500" s="10">
        <f t="shared" si="503"/>
        <v>0</v>
      </c>
      <c r="AJ500" s="10">
        <f t="shared" si="504"/>
        <v>0</v>
      </c>
      <c r="AK500" s="10">
        <f t="shared" si="505"/>
        <v>0</v>
      </c>
      <c r="AL500" s="10">
        <f t="shared" si="506"/>
        <v>0</v>
      </c>
      <c r="AM500" s="10">
        <f t="shared" si="507"/>
        <v>0</v>
      </c>
      <c r="AN500" s="46">
        <f t="shared" si="508"/>
        <v>0</v>
      </c>
      <c r="AO500" s="10">
        <f t="shared" si="509"/>
        <v>0</v>
      </c>
      <c r="AP500" s="10">
        <f t="shared" si="510"/>
        <v>0</v>
      </c>
      <c r="AQ500" s="10">
        <f t="shared" si="511"/>
        <v>0</v>
      </c>
      <c r="AR500" s="10">
        <f t="shared" si="512"/>
        <v>0</v>
      </c>
      <c r="AS500" s="10">
        <f t="shared" si="513"/>
        <v>0</v>
      </c>
      <c r="AT500" s="10">
        <f t="shared" si="514"/>
        <v>0</v>
      </c>
      <c r="AU500" s="10">
        <f t="shared" si="515"/>
        <v>0</v>
      </c>
      <c r="AV500" s="10">
        <f t="shared" si="516"/>
        <v>0</v>
      </c>
      <c r="AW500" s="10">
        <f t="shared" si="517"/>
        <v>0</v>
      </c>
      <c r="AX500" s="10">
        <f t="shared" si="518"/>
        <v>0</v>
      </c>
    </row>
    <row r="501" spans="1:50" x14ac:dyDescent="0.2">
      <c r="A501" s="8">
        <v>14850</v>
      </c>
      <c r="B501" s="89" t="str">
        <f t="shared" si="470"/>
        <v>Lismore</v>
      </c>
      <c r="C501" s="9" t="str">
        <f t="shared" si="471"/>
        <v>NEWF</v>
      </c>
      <c r="D501" s="51" t="str">
        <f t="shared" si="472"/>
        <v>R</v>
      </c>
      <c r="E501" s="10" t="str">
        <f t="shared" si="473"/>
        <v>NRJO</v>
      </c>
      <c r="F501" s="10">
        <f t="shared" si="474"/>
        <v>43667</v>
      </c>
      <c r="G501" s="10">
        <f t="shared" si="475"/>
        <v>18655</v>
      </c>
      <c r="H501" s="10">
        <f t="shared" si="476"/>
        <v>2.3407665505226483</v>
      </c>
      <c r="I501" s="10">
        <f t="shared" si="477"/>
        <v>1287.7</v>
      </c>
      <c r="J501" s="10">
        <f t="shared" si="478"/>
        <v>33.9</v>
      </c>
      <c r="K501" s="10">
        <f t="shared" si="479"/>
        <v>316.2</v>
      </c>
      <c r="L501" s="10" t="str">
        <f t="shared" si="480"/>
        <v>Y</v>
      </c>
      <c r="M501" s="10">
        <f t="shared" si="481"/>
        <v>14971</v>
      </c>
      <c r="N501" s="10">
        <f t="shared" si="482"/>
        <v>14971</v>
      </c>
      <c r="O501" s="10">
        <f t="shared" si="483"/>
        <v>0</v>
      </c>
      <c r="P501" s="10">
        <f t="shared" si="484"/>
        <v>12898</v>
      </c>
      <c r="Q501" s="10">
        <f t="shared" si="485"/>
        <v>0</v>
      </c>
      <c r="R501" s="10" t="str">
        <f t="shared" si="486"/>
        <v>Yes</v>
      </c>
      <c r="S501" s="10" t="str">
        <f t="shared" si="487"/>
        <v>Lismore Waste Facility</v>
      </c>
      <c r="T501" s="10" t="str">
        <f t="shared" si="488"/>
        <v xml:space="preserve">Nimbin Transfer Station </v>
      </c>
      <c r="U501" s="10">
        <f t="shared" si="489"/>
        <v>0</v>
      </c>
      <c r="V501" s="10">
        <f t="shared" si="490"/>
        <v>0</v>
      </c>
      <c r="W501" s="10">
        <f t="shared" si="491"/>
        <v>0</v>
      </c>
      <c r="X501" s="10">
        <f t="shared" si="492"/>
        <v>0</v>
      </c>
      <c r="Y501" s="10">
        <f t="shared" si="493"/>
        <v>0</v>
      </c>
      <c r="Z501" s="10">
        <f t="shared" si="494"/>
        <v>0</v>
      </c>
      <c r="AA501" s="10">
        <f t="shared" si="495"/>
        <v>0</v>
      </c>
      <c r="AB501" s="10">
        <f t="shared" si="496"/>
        <v>0</v>
      </c>
      <c r="AC501" s="10">
        <f t="shared" si="497"/>
        <v>0</v>
      </c>
      <c r="AD501" s="10">
        <f t="shared" si="498"/>
        <v>0</v>
      </c>
      <c r="AE501" s="10">
        <f t="shared" si="499"/>
        <v>0</v>
      </c>
      <c r="AF501" s="10">
        <f t="shared" si="500"/>
        <v>0</v>
      </c>
      <c r="AG501" s="10">
        <f t="shared" si="501"/>
        <v>0</v>
      </c>
      <c r="AH501" s="10">
        <f t="shared" si="502"/>
        <v>0</v>
      </c>
      <c r="AI501" s="10">
        <f t="shared" si="503"/>
        <v>0</v>
      </c>
      <c r="AJ501" s="10">
        <f t="shared" si="504"/>
        <v>0</v>
      </c>
      <c r="AK501" s="10">
        <f t="shared" si="505"/>
        <v>0</v>
      </c>
      <c r="AL501" s="10">
        <f t="shared" si="506"/>
        <v>0</v>
      </c>
      <c r="AM501" s="10">
        <f t="shared" si="507"/>
        <v>0</v>
      </c>
      <c r="AN501" s="46">
        <f t="shared" si="508"/>
        <v>0</v>
      </c>
      <c r="AO501" s="10">
        <f t="shared" si="509"/>
        <v>0</v>
      </c>
      <c r="AP501" s="10">
        <f t="shared" si="510"/>
        <v>0</v>
      </c>
      <c r="AQ501" s="10">
        <f t="shared" si="511"/>
        <v>0</v>
      </c>
      <c r="AR501" s="10">
        <f t="shared" si="512"/>
        <v>0</v>
      </c>
      <c r="AS501" s="10">
        <f t="shared" si="513"/>
        <v>0</v>
      </c>
      <c r="AT501" s="10">
        <f t="shared" si="514"/>
        <v>0</v>
      </c>
      <c r="AU501" s="10">
        <f t="shared" si="515"/>
        <v>0</v>
      </c>
      <c r="AV501" s="10">
        <f t="shared" si="516"/>
        <v>0</v>
      </c>
      <c r="AW501" s="10">
        <f t="shared" si="517"/>
        <v>0</v>
      </c>
      <c r="AX501" s="10">
        <f t="shared" si="518"/>
        <v>0</v>
      </c>
    </row>
    <row r="502" spans="1:50" x14ac:dyDescent="0.2">
      <c r="A502" s="8">
        <v>16610</v>
      </c>
      <c r="B502" s="89" t="str">
        <f t="shared" si="470"/>
        <v>Richmond Valley</v>
      </c>
      <c r="C502" s="9" t="str">
        <f t="shared" si="471"/>
        <v>NEWF</v>
      </c>
      <c r="D502" s="51" t="str">
        <f t="shared" si="472"/>
        <v>R</v>
      </c>
      <c r="E502" s="10" t="str">
        <f t="shared" si="473"/>
        <v>NRJO</v>
      </c>
      <c r="F502" s="10">
        <f t="shared" si="474"/>
        <v>23490</v>
      </c>
      <c r="G502" s="10">
        <f t="shared" si="475"/>
        <v>10015</v>
      </c>
      <c r="H502" s="10">
        <f t="shared" si="476"/>
        <v>2.3454817773339989</v>
      </c>
      <c r="I502" s="10">
        <f t="shared" si="477"/>
        <v>3047.4</v>
      </c>
      <c r="J502" s="10">
        <f t="shared" si="478"/>
        <v>7.7</v>
      </c>
      <c r="K502" s="10">
        <f t="shared" si="479"/>
        <v>593</v>
      </c>
      <c r="L502" s="10" t="str">
        <f t="shared" si="480"/>
        <v>Y</v>
      </c>
      <c r="M502" s="10">
        <f t="shared" si="481"/>
        <v>7165</v>
      </c>
      <c r="N502" s="10">
        <f t="shared" si="482"/>
        <v>7165</v>
      </c>
      <c r="O502" s="10">
        <f t="shared" si="483"/>
        <v>0</v>
      </c>
      <c r="P502" s="10">
        <f t="shared" si="484"/>
        <v>7165</v>
      </c>
      <c r="Q502" s="10">
        <f t="shared" si="485"/>
        <v>0</v>
      </c>
      <c r="R502" s="10" t="str">
        <f t="shared" si="486"/>
        <v>Yes</v>
      </c>
      <c r="S502" s="10" t="str">
        <f t="shared" si="487"/>
        <v>Nammoona Waste &amp; Resource Recovery Facility 55 Dargaville Drive Casino NSW 2470</v>
      </c>
      <c r="T502" s="10" t="str">
        <f t="shared" si="488"/>
        <v>Evans Head Transfer Station 972 Broadwater Evans Head Road Evans Head NSW 2473</v>
      </c>
      <c r="U502" s="10" t="str">
        <f t="shared" si="489"/>
        <v xml:space="preserve">Rappville Transfer Station Carwong Rd Rappville NSW </v>
      </c>
      <c r="V502" s="10">
        <f t="shared" si="490"/>
        <v>0</v>
      </c>
      <c r="W502" s="10">
        <f t="shared" si="491"/>
        <v>0</v>
      </c>
      <c r="X502" s="10">
        <f t="shared" si="492"/>
        <v>0</v>
      </c>
      <c r="Y502" s="10">
        <f t="shared" si="493"/>
        <v>0</v>
      </c>
      <c r="Z502" s="10">
        <f t="shared" si="494"/>
        <v>0</v>
      </c>
      <c r="AA502" s="10">
        <f t="shared" si="495"/>
        <v>0</v>
      </c>
      <c r="AB502" s="10">
        <f t="shared" si="496"/>
        <v>0</v>
      </c>
      <c r="AC502" s="10">
        <f t="shared" si="497"/>
        <v>0</v>
      </c>
      <c r="AD502" s="10">
        <f t="shared" si="498"/>
        <v>0</v>
      </c>
      <c r="AE502" s="10">
        <f t="shared" si="499"/>
        <v>0</v>
      </c>
      <c r="AF502" s="10">
        <f t="shared" si="500"/>
        <v>0</v>
      </c>
      <c r="AG502" s="10">
        <f t="shared" si="501"/>
        <v>0</v>
      </c>
      <c r="AH502" s="10">
        <f t="shared" si="502"/>
        <v>0</v>
      </c>
      <c r="AI502" s="10">
        <f t="shared" si="503"/>
        <v>0</v>
      </c>
      <c r="AJ502" s="10">
        <f t="shared" si="504"/>
        <v>0</v>
      </c>
      <c r="AK502" s="10">
        <f t="shared" si="505"/>
        <v>0</v>
      </c>
      <c r="AL502" s="10">
        <f t="shared" si="506"/>
        <v>0</v>
      </c>
      <c r="AM502" s="10">
        <f t="shared" si="507"/>
        <v>0</v>
      </c>
      <c r="AN502" s="46">
        <f t="shared" si="508"/>
        <v>0</v>
      </c>
      <c r="AO502" s="10">
        <f t="shared" si="509"/>
        <v>0</v>
      </c>
      <c r="AP502" s="10">
        <f t="shared" si="510"/>
        <v>0</v>
      </c>
      <c r="AQ502" s="10">
        <f t="shared" si="511"/>
        <v>0</v>
      </c>
      <c r="AR502" s="10">
        <f t="shared" si="512"/>
        <v>0</v>
      </c>
      <c r="AS502" s="10">
        <f t="shared" si="513"/>
        <v>0</v>
      </c>
      <c r="AT502" s="10">
        <f t="shared" si="514"/>
        <v>0</v>
      </c>
      <c r="AU502" s="10">
        <f t="shared" si="515"/>
        <v>0</v>
      </c>
      <c r="AV502" s="10">
        <f t="shared" si="516"/>
        <v>0</v>
      </c>
      <c r="AW502" s="10">
        <f t="shared" si="517"/>
        <v>0</v>
      </c>
      <c r="AX502" s="10">
        <f t="shared" si="518"/>
        <v>0</v>
      </c>
    </row>
    <row r="503" spans="1:50" ht="13.5" thickBot="1" x14ac:dyDescent="0.25">
      <c r="A503" s="8">
        <v>17550</v>
      </c>
      <c r="B503" s="89" t="str">
        <f t="shared" si="470"/>
        <v>Tweed</v>
      </c>
      <c r="C503" s="9" t="str">
        <f t="shared" si="471"/>
        <v>NEWF</v>
      </c>
      <c r="D503" s="51" t="str">
        <f t="shared" si="472"/>
        <v>R</v>
      </c>
      <c r="E503" s="10" t="str">
        <f t="shared" si="473"/>
        <v>NRJO</v>
      </c>
      <c r="F503" s="10">
        <f t="shared" si="474"/>
        <v>98382</v>
      </c>
      <c r="G503" s="10">
        <f t="shared" si="475"/>
        <v>41548</v>
      </c>
      <c r="H503" s="10">
        <f t="shared" si="476"/>
        <v>2.3679118128429768</v>
      </c>
      <c r="I503" s="10">
        <f t="shared" si="477"/>
        <v>1307.7</v>
      </c>
      <c r="J503" s="10">
        <f t="shared" si="478"/>
        <v>75.2</v>
      </c>
      <c r="K503" s="10">
        <f t="shared" si="479"/>
        <v>497.4</v>
      </c>
      <c r="L503" s="10" t="str">
        <f t="shared" si="480"/>
        <v>Y</v>
      </c>
      <c r="M503" s="10">
        <f t="shared" si="481"/>
        <v>39556</v>
      </c>
      <c r="N503" s="10">
        <f t="shared" si="482"/>
        <v>39013</v>
      </c>
      <c r="O503" s="10">
        <f t="shared" si="483"/>
        <v>0</v>
      </c>
      <c r="P503" s="10">
        <f t="shared" si="484"/>
        <v>26925</v>
      </c>
      <c r="Q503" s="10">
        <f t="shared" si="485"/>
        <v>41548</v>
      </c>
      <c r="R503" s="10" t="str">
        <f t="shared" si="486"/>
        <v>Yes</v>
      </c>
      <c r="S503" s="10" t="str">
        <f t="shared" si="487"/>
        <v>Stotts Creek Resource Recovery Centre</v>
      </c>
      <c r="T503" s="10">
        <f t="shared" si="488"/>
        <v>0</v>
      </c>
      <c r="U503" s="10">
        <f t="shared" si="489"/>
        <v>0</v>
      </c>
      <c r="V503" s="10">
        <f t="shared" si="490"/>
        <v>0</v>
      </c>
      <c r="W503" s="10">
        <f t="shared" si="491"/>
        <v>0</v>
      </c>
      <c r="X503" s="10">
        <f t="shared" si="492"/>
        <v>0</v>
      </c>
      <c r="Y503" s="10">
        <f t="shared" si="493"/>
        <v>0</v>
      </c>
      <c r="Z503" s="10">
        <f t="shared" si="494"/>
        <v>0</v>
      </c>
      <c r="AA503" s="10">
        <f t="shared" si="495"/>
        <v>0</v>
      </c>
      <c r="AB503" s="10">
        <f t="shared" si="496"/>
        <v>0</v>
      </c>
      <c r="AC503" s="10">
        <f t="shared" si="497"/>
        <v>0</v>
      </c>
      <c r="AD503" s="10">
        <f t="shared" si="498"/>
        <v>0</v>
      </c>
      <c r="AE503" s="10">
        <f t="shared" si="499"/>
        <v>0</v>
      </c>
      <c r="AF503" s="10">
        <f t="shared" si="500"/>
        <v>0</v>
      </c>
      <c r="AG503" s="10">
        <f t="shared" si="501"/>
        <v>0</v>
      </c>
      <c r="AH503" s="10">
        <f t="shared" si="502"/>
        <v>0</v>
      </c>
      <c r="AI503" s="10">
        <f t="shared" si="503"/>
        <v>0</v>
      </c>
      <c r="AJ503" s="10">
        <f t="shared" si="504"/>
        <v>0</v>
      </c>
      <c r="AK503" s="10">
        <f t="shared" si="505"/>
        <v>0</v>
      </c>
      <c r="AL503" s="10">
        <f t="shared" si="506"/>
        <v>0</v>
      </c>
      <c r="AM503" s="10">
        <f t="shared" si="507"/>
        <v>0</v>
      </c>
      <c r="AN503" s="46">
        <f t="shared" si="508"/>
        <v>0</v>
      </c>
      <c r="AO503" s="10">
        <f t="shared" si="509"/>
        <v>0</v>
      </c>
      <c r="AP503" s="10">
        <f t="shared" si="510"/>
        <v>0</v>
      </c>
      <c r="AQ503" s="10">
        <f t="shared" si="511"/>
        <v>0</v>
      </c>
      <c r="AR503" s="10">
        <f t="shared" si="512"/>
        <v>0</v>
      </c>
      <c r="AS503" s="10">
        <f t="shared" si="513"/>
        <v>0</v>
      </c>
      <c r="AT503" s="10">
        <f t="shared" si="514"/>
        <v>0</v>
      </c>
      <c r="AU503" s="10">
        <f t="shared" si="515"/>
        <v>0</v>
      </c>
      <c r="AV503" s="10">
        <f t="shared" si="516"/>
        <v>0</v>
      </c>
      <c r="AW503" s="10">
        <f t="shared" si="517"/>
        <v>0</v>
      </c>
      <c r="AX503" s="10">
        <f t="shared" si="518"/>
        <v>0</v>
      </c>
    </row>
    <row r="504" spans="1:50" ht="13.5" thickTop="1" x14ac:dyDescent="0.2">
      <c r="A504" s="11"/>
      <c r="B504" s="11"/>
      <c r="C504" s="11" t="s">
        <v>30</v>
      </c>
      <c r="D504" s="11"/>
      <c r="E504" s="12"/>
      <c r="F504" s="13">
        <f>COUNTIF(F497:F503,"&gt;0")</f>
        <v>7</v>
      </c>
      <c r="G504" s="13">
        <f t="shared" ref="G504:AX504" si="519">COUNTIF(G497:G503,"&gt;0")</f>
        <v>7</v>
      </c>
      <c r="H504" s="13">
        <f t="shared" si="519"/>
        <v>7</v>
      </c>
      <c r="I504" s="13">
        <f t="shared" si="519"/>
        <v>7</v>
      </c>
      <c r="J504" s="13">
        <f t="shared" si="519"/>
        <v>7</v>
      </c>
      <c r="K504" s="13">
        <f t="shared" si="519"/>
        <v>7</v>
      </c>
      <c r="L504" s="13">
        <f t="shared" si="519"/>
        <v>0</v>
      </c>
      <c r="M504" s="13">
        <f t="shared" si="519"/>
        <v>7</v>
      </c>
      <c r="N504" s="13">
        <f t="shared" si="519"/>
        <v>7</v>
      </c>
      <c r="O504" s="13">
        <f t="shared" si="519"/>
        <v>0</v>
      </c>
      <c r="P504" s="13">
        <f t="shared" si="519"/>
        <v>6</v>
      </c>
      <c r="Q504" s="13">
        <f t="shared" si="519"/>
        <v>3</v>
      </c>
      <c r="R504" s="13">
        <f t="shared" si="519"/>
        <v>0</v>
      </c>
      <c r="S504" s="13">
        <f t="shared" si="519"/>
        <v>0</v>
      </c>
      <c r="T504" s="13">
        <f t="shared" si="519"/>
        <v>0</v>
      </c>
      <c r="U504" s="13">
        <f t="shared" si="519"/>
        <v>0</v>
      </c>
      <c r="V504" s="13">
        <f t="shared" si="519"/>
        <v>0</v>
      </c>
      <c r="W504" s="13">
        <f t="shared" si="519"/>
        <v>0</v>
      </c>
      <c r="X504" s="13">
        <f t="shared" si="519"/>
        <v>0</v>
      </c>
      <c r="Y504" s="13">
        <f t="shared" si="519"/>
        <v>0</v>
      </c>
      <c r="Z504" s="13">
        <f t="shared" si="519"/>
        <v>0</v>
      </c>
      <c r="AA504" s="13">
        <f t="shared" si="519"/>
        <v>0</v>
      </c>
      <c r="AB504" s="13">
        <f t="shared" si="519"/>
        <v>0</v>
      </c>
      <c r="AC504" s="13">
        <f t="shared" si="519"/>
        <v>0</v>
      </c>
      <c r="AD504" s="13">
        <f t="shared" si="519"/>
        <v>0</v>
      </c>
      <c r="AE504" s="13">
        <f t="shared" si="519"/>
        <v>0</v>
      </c>
      <c r="AF504" s="13">
        <f t="shared" si="519"/>
        <v>0</v>
      </c>
      <c r="AG504" s="13">
        <f t="shared" si="519"/>
        <v>0</v>
      </c>
      <c r="AH504" s="13">
        <f t="shared" si="519"/>
        <v>0</v>
      </c>
      <c r="AI504" s="13">
        <f t="shared" si="519"/>
        <v>0</v>
      </c>
      <c r="AJ504" s="13">
        <f t="shared" si="519"/>
        <v>0</v>
      </c>
      <c r="AK504" s="13">
        <f t="shared" si="519"/>
        <v>0</v>
      </c>
      <c r="AL504" s="13">
        <f t="shared" si="519"/>
        <v>0</v>
      </c>
      <c r="AM504" s="44">
        <f t="shared" si="519"/>
        <v>0</v>
      </c>
      <c r="AN504" s="13">
        <f t="shared" si="519"/>
        <v>0</v>
      </c>
      <c r="AO504" s="13">
        <f t="shared" si="519"/>
        <v>0</v>
      </c>
      <c r="AP504" s="13">
        <f t="shared" si="519"/>
        <v>0</v>
      </c>
      <c r="AQ504" s="13">
        <f t="shared" si="519"/>
        <v>0</v>
      </c>
      <c r="AR504" s="13">
        <f t="shared" si="519"/>
        <v>0</v>
      </c>
      <c r="AS504" s="13">
        <f t="shared" si="519"/>
        <v>0</v>
      </c>
      <c r="AT504" s="13">
        <f t="shared" si="519"/>
        <v>0</v>
      </c>
      <c r="AU504" s="13">
        <f t="shared" si="519"/>
        <v>0</v>
      </c>
      <c r="AV504" s="13">
        <f t="shared" si="519"/>
        <v>0</v>
      </c>
      <c r="AW504" s="13">
        <f t="shared" si="519"/>
        <v>0</v>
      </c>
      <c r="AX504" s="13">
        <f t="shared" si="519"/>
        <v>0</v>
      </c>
    </row>
    <row r="505" spans="1:50" x14ac:dyDescent="0.2">
      <c r="A505" s="8"/>
      <c r="B505" s="8"/>
      <c r="C505" s="8" t="s">
        <v>31</v>
      </c>
      <c r="D505" s="8"/>
      <c r="E505" s="80"/>
      <c r="F505" s="15">
        <f>SUM(F497:F503)</f>
        <v>307047</v>
      </c>
      <c r="G505" s="15">
        <f t="shared" ref="G505:AX505" si="520">SUM(G497:G503)</f>
        <v>135511</v>
      </c>
      <c r="H505" s="110">
        <f>F505/G505</f>
        <v>2.2658455771118211</v>
      </c>
      <c r="I505" s="15">
        <f>SUM(I497:I503)</f>
        <v>20706.400000000005</v>
      </c>
      <c r="J505" s="15">
        <f t="shared" si="520"/>
        <v>280.7</v>
      </c>
      <c r="K505" s="15">
        <f t="shared" si="520"/>
        <v>3010.1</v>
      </c>
      <c r="L505" s="15">
        <f t="shared" si="520"/>
        <v>0</v>
      </c>
      <c r="M505" s="15">
        <f t="shared" si="520"/>
        <v>119290</v>
      </c>
      <c r="N505" s="15">
        <f t="shared" si="520"/>
        <v>116701</v>
      </c>
      <c r="O505" s="15">
        <f t="shared" si="520"/>
        <v>0</v>
      </c>
      <c r="P505" s="15">
        <f t="shared" si="520"/>
        <v>90766</v>
      </c>
      <c r="Q505" s="15">
        <f t="shared" si="520"/>
        <v>82877</v>
      </c>
      <c r="R505" s="15">
        <f t="shared" si="520"/>
        <v>0</v>
      </c>
      <c r="S505" s="15">
        <f t="shared" si="520"/>
        <v>0</v>
      </c>
      <c r="T505" s="15">
        <f t="shared" si="520"/>
        <v>0</v>
      </c>
      <c r="U505" s="15">
        <f t="shared" si="520"/>
        <v>0</v>
      </c>
      <c r="V505" s="15">
        <f t="shared" si="520"/>
        <v>0</v>
      </c>
      <c r="W505" s="15">
        <f t="shared" si="520"/>
        <v>0</v>
      </c>
      <c r="X505" s="15">
        <f t="shared" si="520"/>
        <v>0</v>
      </c>
      <c r="Y505" s="15">
        <f t="shared" si="520"/>
        <v>0</v>
      </c>
      <c r="Z505" s="15">
        <f t="shared" si="520"/>
        <v>0</v>
      </c>
      <c r="AA505" s="15">
        <f t="shared" si="520"/>
        <v>0</v>
      </c>
      <c r="AB505" s="15">
        <f t="shared" si="520"/>
        <v>0</v>
      </c>
      <c r="AC505" s="15">
        <f t="shared" si="520"/>
        <v>0</v>
      </c>
      <c r="AD505" s="15">
        <f t="shared" si="520"/>
        <v>0</v>
      </c>
      <c r="AE505" s="15">
        <f t="shared" si="520"/>
        <v>0</v>
      </c>
      <c r="AF505" s="15">
        <f t="shared" si="520"/>
        <v>0</v>
      </c>
      <c r="AG505" s="15">
        <f t="shared" si="520"/>
        <v>0</v>
      </c>
      <c r="AH505" s="15">
        <f t="shared" si="520"/>
        <v>0</v>
      </c>
      <c r="AI505" s="15">
        <f t="shared" si="520"/>
        <v>0</v>
      </c>
      <c r="AJ505" s="15">
        <f t="shared" si="520"/>
        <v>0</v>
      </c>
      <c r="AK505" s="15">
        <f t="shared" si="520"/>
        <v>0</v>
      </c>
      <c r="AL505" s="15">
        <f t="shared" si="520"/>
        <v>0</v>
      </c>
      <c r="AM505" s="45">
        <f t="shared" si="520"/>
        <v>0</v>
      </c>
      <c r="AN505" s="15">
        <f t="shared" si="520"/>
        <v>0</v>
      </c>
      <c r="AO505" s="15">
        <f t="shared" si="520"/>
        <v>0</v>
      </c>
      <c r="AP505" s="15">
        <f t="shared" si="520"/>
        <v>0</v>
      </c>
      <c r="AQ505" s="15">
        <f t="shared" si="520"/>
        <v>0</v>
      </c>
      <c r="AR505" s="15">
        <f t="shared" si="520"/>
        <v>0</v>
      </c>
      <c r="AS505" s="15">
        <f t="shared" si="520"/>
        <v>0</v>
      </c>
      <c r="AT505" s="15">
        <f t="shared" si="520"/>
        <v>0</v>
      </c>
      <c r="AU505" s="15">
        <f t="shared" si="520"/>
        <v>0</v>
      </c>
      <c r="AV505" s="15">
        <f t="shared" si="520"/>
        <v>0</v>
      </c>
      <c r="AW505" s="15">
        <f t="shared" si="520"/>
        <v>0</v>
      </c>
      <c r="AX505" s="15">
        <f t="shared" si="520"/>
        <v>0</v>
      </c>
    </row>
    <row r="506" spans="1:50" x14ac:dyDescent="0.2">
      <c r="A506" s="8"/>
      <c r="B506" s="8"/>
      <c r="C506" s="8" t="s">
        <v>32</v>
      </c>
      <c r="D506" s="8"/>
      <c r="E506" s="80"/>
      <c r="F506" s="10">
        <f>MIN(F497:F503)</f>
        <v>8788</v>
      </c>
      <c r="G506" s="10">
        <f t="shared" ref="G506:AX506" si="521">MIN(G497:G503)</f>
        <v>4042</v>
      </c>
      <c r="H506" s="10">
        <f t="shared" si="521"/>
        <v>1.9308002388772767</v>
      </c>
      <c r="I506" s="10">
        <f t="shared" si="521"/>
        <v>484.9</v>
      </c>
      <c r="J506" s="10">
        <f t="shared" si="521"/>
        <v>2.5</v>
      </c>
      <c r="K506" s="10">
        <f t="shared" si="521"/>
        <v>316.2</v>
      </c>
      <c r="L506" s="10">
        <f t="shared" si="521"/>
        <v>0</v>
      </c>
      <c r="M506" s="10">
        <f t="shared" si="521"/>
        <v>1970</v>
      </c>
      <c r="N506" s="10">
        <f t="shared" si="521"/>
        <v>1970</v>
      </c>
      <c r="O506" s="10">
        <f t="shared" si="521"/>
        <v>0</v>
      </c>
      <c r="P506" s="10">
        <f t="shared" si="521"/>
        <v>0</v>
      </c>
      <c r="Q506" s="10">
        <f t="shared" si="521"/>
        <v>0</v>
      </c>
      <c r="R506" s="10">
        <f t="shared" si="521"/>
        <v>0</v>
      </c>
      <c r="S506" s="10">
        <f t="shared" si="521"/>
        <v>0</v>
      </c>
      <c r="T506" s="10">
        <f t="shared" si="521"/>
        <v>0</v>
      </c>
      <c r="U506" s="10">
        <f t="shared" si="521"/>
        <v>0</v>
      </c>
      <c r="V506" s="10">
        <f t="shared" si="521"/>
        <v>0</v>
      </c>
      <c r="W506" s="10">
        <f t="shared" si="521"/>
        <v>0</v>
      </c>
      <c r="X506" s="10">
        <f t="shared" si="521"/>
        <v>0</v>
      </c>
      <c r="Y506" s="10">
        <f t="shared" si="521"/>
        <v>0</v>
      </c>
      <c r="Z506" s="10">
        <f t="shared" si="521"/>
        <v>0</v>
      </c>
      <c r="AA506" s="10">
        <f t="shared" si="521"/>
        <v>0</v>
      </c>
      <c r="AB506" s="10">
        <f t="shared" si="521"/>
        <v>0</v>
      </c>
      <c r="AC506" s="10">
        <f t="shared" si="521"/>
        <v>0</v>
      </c>
      <c r="AD506" s="10">
        <f t="shared" si="521"/>
        <v>0</v>
      </c>
      <c r="AE506" s="10">
        <f t="shared" si="521"/>
        <v>0</v>
      </c>
      <c r="AF506" s="10">
        <f t="shared" si="521"/>
        <v>0</v>
      </c>
      <c r="AG506" s="10">
        <f t="shared" si="521"/>
        <v>0</v>
      </c>
      <c r="AH506" s="10">
        <f t="shared" si="521"/>
        <v>0</v>
      </c>
      <c r="AI506" s="10">
        <f t="shared" si="521"/>
        <v>0</v>
      </c>
      <c r="AJ506" s="10">
        <f t="shared" si="521"/>
        <v>0</v>
      </c>
      <c r="AK506" s="10">
        <f t="shared" si="521"/>
        <v>0</v>
      </c>
      <c r="AL506" s="10">
        <f t="shared" si="521"/>
        <v>0</v>
      </c>
      <c r="AM506" s="46">
        <f t="shared" si="521"/>
        <v>0</v>
      </c>
      <c r="AN506" s="10">
        <f t="shared" si="521"/>
        <v>0</v>
      </c>
      <c r="AO506" s="10">
        <f t="shared" si="521"/>
        <v>0</v>
      </c>
      <c r="AP506" s="10">
        <f t="shared" si="521"/>
        <v>0</v>
      </c>
      <c r="AQ506" s="10">
        <f t="shared" si="521"/>
        <v>0</v>
      </c>
      <c r="AR506" s="10">
        <f t="shared" si="521"/>
        <v>0</v>
      </c>
      <c r="AS506" s="10">
        <f t="shared" si="521"/>
        <v>0</v>
      </c>
      <c r="AT506" s="10">
        <f t="shared" si="521"/>
        <v>0</v>
      </c>
      <c r="AU506" s="10">
        <f t="shared" si="521"/>
        <v>0</v>
      </c>
      <c r="AV506" s="10">
        <f t="shared" si="521"/>
        <v>0</v>
      </c>
      <c r="AW506" s="10">
        <f t="shared" si="521"/>
        <v>0</v>
      </c>
      <c r="AX506" s="10">
        <f t="shared" si="521"/>
        <v>0</v>
      </c>
    </row>
    <row r="507" spans="1:50" x14ac:dyDescent="0.2">
      <c r="A507" s="8"/>
      <c r="B507" s="8"/>
      <c r="C507" s="8" t="s">
        <v>33</v>
      </c>
      <c r="D507" s="8"/>
      <c r="E507" s="80"/>
      <c r="F507" s="10">
        <f>MAX(F497:F503)</f>
        <v>98382</v>
      </c>
      <c r="G507" s="10">
        <f t="shared" ref="G507:AX507" si="522">MAX(G497:G503)</f>
        <v>41548</v>
      </c>
      <c r="H507" s="10">
        <f t="shared" si="522"/>
        <v>2.4608241040104559</v>
      </c>
      <c r="I507" s="10">
        <f t="shared" si="522"/>
        <v>10428.700000000001</v>
      </c>
      <c r="J507" s="10">
        <f t="shared" si="522"/>
        <v>93.2</v>
      </c>
      <c r="K507" s="10">
        <f t="shared" si="522"/>
        <v>593</v>
      </c>
      <c r="L507" s="10">
        <f t="shared" si="522"/>
        <v>0</v>
      </c>
      <c r="M507" s="10">
        <f t="shared" si="522"/>
        <v>39556</v>
      </c>
      <c r="N507" s="10">
        <f t="shared" si="522"/>
        <v>39013</v>
      </c>
      <c r="O507" s="10">
        <f t="shared" si="522"/>
        <v>0</v>
      </c>
      <c r="P507" s="10">
        <f t="shared" si="522"/>
        <v>26925</v>
      </c>
      <c r="Q507" s="10">
        <f t="shared" si="522"/>
        <v>41548</v>
      </c>
      <c r="R507" s="10">
        <f t="shared" si="522"/>
        <v>0</v>
      </c>
      <c r="S507" s="10">
        <f t="shared" si="522"/>
        <v>0</v>
      </c>
      <c r="T507" s="10">
        <f t="shared" si="522"/>
        <v>0</v>
      </c>
      <c r="U507" s="10">
        <f t="shared" si="522"/>
        <v>0</v>
      </c>
      <c r="V507" s="10">
        <f t="shared" si="522"/>
        <v>0</v>
      </c>
      <c r="W507" s="10">
        <f t="shared" si="522"/>
        <v>0</v>
      </c>
      <c r="X507" s="10">
        <f t="shared" si="522"/>
        <v>0</v>
      </c>
      <c r="Y507" s="10">
        <f t="shared" si="522"/>
        <v>0</v>
      </c>
      <c r="Z507" s="10">
        <f t="shared" si="522"/>
        <v>0</v>
      </c>
      <c r="AA507" s="10">
        <f t="shared" si="522"/>
        <v>0</v>
      </c>
      <c r="AB507" s="10">
        <f t="shared" si="522"/>
        <v>0</v>
      </c>
      <c r="AC507" s="10">
        <f t="shared" si="522"/>
        <v>0</v>
      </c>
      <c r="AD507" s="10">
        <f t="shared" si="522"/>
        <v>0</v>
      </c>
      <c r="AE507" s="10">
        <f t="shared" si="522"/>
        <v>0</v>
      </c>
      <c r="AF507" s="10">
        <f t="shared" si="522"/>
        <v>0</v>
      </c>
      <c r="AG507" s="10">
        <f t="shared" si="522"/>
        <v>0</v>
      </c>
      <c r="AH507" s="10">
        <f t="shared" si="522"/>
        <v>0</v>
      </c>
      <c r="AI507" s="10">
        <f t="shared" si="522"/>
        <v>0</v>
      </c>
      <c r="AJ507" s="10">
        <f t="shared" si="522"/>
        <v>0</v>
      </c>
      <c r="AK507" s="10">
        <f t="shared" si="522"/>
        <v>0</v>
      </c>
      <c r="AL507" s="10">
        <f t="shared" si="522"/>
        <v>0</v>
      </c>
      <c r="AM507" s="46">
        <f t="shared" si="522"/>
        <v>0</v>
      </c>
      <c r="AN507" s="10">
        <f t="shared" si="522"/>
        <v>0</v>
      </c>
      <c r="AO507" s="10">
        <f t="shared" si="522"/>
        <v>0</v>
      </c>
      <c r="AP507" s="10">
        <f t="shared" si="522"/>
        <v>0</v>
      </c>
      <c r="AQ507" s="10">
        <f t="shared" si="522"/>
        <v>0</v>
      </c>
      <c r="AR507" s="10">
        <f t="shared" si="522"/>
        <v>0</v>
      </c>
      <c r="AS507" s="10">
        <f t="shared" si="522"/>
        <v>0</v>
      </c>
      <c r="AT507" s="10">
        <f t="shared" si="522"/>
        <v>0</v>
      </c>
      <c r="AU507" s="10">
        <f t="shared" si="522"/>
        <v>0</v>
      </c>
      <c r="AV507" s="10">
        <f t="shared" si="522"/>
        <v>0</v>
      </c>
      <c r="AW507" s="10">
        <f t="shared" si="522"/>
        <v>0</v>
      </c>
      <c r="AX507" s="10">
        <f t="shared" si="522"/>
        <v>0</v>
      </c>
    </row>
    <row r="508" spans="1:50" x14ac:dyDescent="0.2">
      <c r="A508" s="8"/>
      <c r="B508" s="8"/>
      <c r="C508" s="8" t="s">
        <v>34</v>
      </c>
      <c r="D508" s="8"/>
      <c r="E508" s="80"/>
      <c r="F508" s="10">
        <f>AVERAGE(F497:F503)</f>
        <v>43863.857142857145</v>
      </c>
      <c r="G508" s="10">
        <f t="shared" ref="G508:AX508" si="523">AVERAGE(G497:G503)</f>
        <v>19358.714285714286</v>
      </c>
      <c r="H508" s="10">
        <f t="shared" si="523"/>
        <v>2.26995107473248</v>
      </c>
      <c r="I508" s="10">
        <f t="shared" si="523"/>
        <v>2958.0571428571434</v>
      </c>
      <c r="J508" s="10">
        <f t="shared" si="523"/>
        <v>40.1</v>
      </c>
      <c r="K508" s="10">
        <f t="shared" si="523"/>
        <v>430.01428571428568</v>
      </c>
      <c r="L508" s="10" t="e">
        <f t="shared" si="523"/>
        <v>#DIV/0!</v>
      </c>
      <c r="M508" s="10">
        <f t="shared" si="523"/>
        <v>17041.428571428572</v>
      </c>
      <c r="N508" s="10">
        <f t="shared" si="523"/>
        <v>16671.571428571428</v>
      </c>
      <c r="O508" s="10">
        <f t="shared" si="523"/>
        <v>0</v>
      </c>
      <c r="P508" s="10">
        <f t="shared" si="523"/>
        <v>12966.571428571429</v>
      </c>
      <c r="Q508" s="10">
        <f t="shared" si="523"/>
        <v>11839.571428571429</v>
      </c>
      <c r="R508" s="10" t="e">
        <f t="shared" si="523"/>
        <v>#DIV/0!</v>
      </c>
      <c r="S508" s="10" t="e">
        <f t="shared" si="523"/>
        <v>#DIV/0!</v>
      </c>
      <c r="T508" s="10">
        <f t="shared" si="523"/>
        <v>0</v>
      </c>
      <c r="U508" s="10">
        <f t="shared" si="523"/>
        <v>0</v>
      </c>
      <c r="V508" s="10">
        <f t="shared" si="523"/>
        <v>0</v>
      </c>
      <c r="W508" s="10">
        <f t="shared" si="523"/>
        <v>0</v>
      </c>
      <c r="X508" s="10">
        <f t="shared" si="523"/>
        <v>0</v>
      </c>
      <c r="Y508" s="10">
        <f t="shared" si="523"/>
        <v>0</v>
      </c>
      <c r="Z508" s="10">
        <f t="shared" si="523"/>
        <v>0</v>
      </c>
      <c r="AA508" s="10">
        <f t="shared" si="523"/>
        <v>0</v>
      </c>
      <c r="AB508" s="10">
        <f t="shared" si="523"/>
        <v>0</v>
      </c>
      <c r="AC508" s="10">
        <f t="shared" si="523"/>
        <v>0</v>
      </c>
      <c r="AD508" s="10">
        <f t="shared" si="523"/>
        <v>0</v>
      </c>
      <c r="AE508" s="10">
        <f t="shared" si="523"/>
        <v>0</v>
      </c>
      <c r="AF508" s="10">
        <f t="shared" si="523"/>
        <v>0</v>
      </c>
      <c r="AG508" s="10">
        <f t="shared" si="523"/>
        <v>0</v>
      </c>
      <c r="AH508" s="10">
        <f t="shared" si="523"/>
        <v>0</v>
      </c>
      <c r="AI508" s="10">
        <f t="shared" si="523"/>
        <v>0</v>
      </c>
      <c r="AJ508" s="10">
        <f t="shared" si="523"/>
        <v>0</v>
      </c>
      <c r="AK508" s="10">
        <f t="shared" si="523"/>
        <v>0</v>
      </c>
      <c r="AL508" s="10">
        <f t="shared" si="523"/>
        <v>0</v>
      </c>
      <c r="AM508" s="46">
        <f t="shared" si="523"/>
        <v>0</v>
      </c>
      <c r="AN508" s="10">
        <f t="shared" si="523"/>
        <v>0</v>
      </c>
      <c r="AO508" s="10">
        <f t="shared" si="523"/>
        <v>0</v>
      </c>
      <c r="AP508" s="10">
        <f t="shared" si="523"/>
        <v>0</v>
      </c>
      <c r="AQ508" s="10">
        <f t="shared" si="523"/>
        <v>0</v>
      </c>
      <c r="AR508" s="10">
        <f t="shared" si="523"/>
        <v>0</v>
      </c>
      <c r="AS508" s="10">
        <f t="shared" si="523"/>
        <v>0</v>
      </c>
      <c r="AT508" s="10">
        <f t="shared" si="523"/>
        <v>0</v>
      </c>
      <c r="AU508" s="10">
        <f t="shared" si="523"/>
        <v>0</v>
      </c>
      <c r="AV508" s="10">
        <f t="shared" si="523"/>
        <v>0</v>
      </c>
      <c r="AW508" s="10">
        <f t="shared" si="523"/>
        <v>0</v>
      </c>
      <c r="AX508" s="10">
        <f t="shared" si="523"/>
        <v>0</v>
      </c>
    </row>
    <row r="509" spans="1:50" ht="13.5" thickBot="1" x14ac:dyDescent="0.25">
      <c r="A509" s="16"/>
      <c r="B509" s="16"/>
      <c r="C509" s="16" t="s">
        <v>35</v>
      </c>
      <c r="D509" s="16"/>
      <c r="E509" s="80"/>
      <c r="F509" s="18">
        <f>MEDIAN(F497:F503)</f>
        <v>43667</v>
      </c>
      <c r="G509" s="18">
        <f t="shared" ref="G509:AX509" si="524">MEDIAN(G497:G503)</f>
        <v>18655</v>
      </c>
      <c r="H509" s="18">
        <f t="shared" si="524"/>
        <v>2.3407665505226483</v>
      </c>
      <c r="I509" s="18">
        <f t="shared" si="524"/>
        <v>1307.7</v>
      </c>
      <c r="J509" s="18">
        <f t="shared" si="524"/>
        <v>33.9</v>
      </c>
      <c r="K509" s="18">
        <f t="shared" si="524"/>
        <v>407</v>
      </c>
      <c r="L509" s="18" t="e">
        <f t="shared" si="524"/>
        <v>#NUM!</v>
      </c>
      <c r="M509" s="18">
        <f t="shared" si="524"/>
        <v>14971</v>
      </c>
      <c r="N509" s="18">
        <f t="shared" si="524"/>
        <v>14971</v>
      </c>
      <c r="O509" s="18">
        <f t="shared" si="524"/>
        <v>0</v>
      </c>
      <c r="P509" s="18">
        <f t="shared" si="524"/>
        <v>12898</v>
      </c>
      <c r="Q509" s="18">
        <f t="shared" si="524"/>
        <v>0</v>
      </c>
      <c r="R509" s="18" t="e">
        <f t="shared" si="524"/>
        <v>#NUM!</v>
      </c>
      <c r="S509" s="18" t="e">
        <f t="shared" si="524"/>
        <v>#NUM!</v>
      </c>
      <c r="T509" s="18">
        <f t="shared" si="524"/>
        <v>0</v>
      </c>
      <c r="U509" s="18">
        <f t="shared" si="524"/>
        <v>0</v>
      </c>
      <c r="V509" s="18">
        <f t="shared" si="524"/>
        <v>0</v>
      </c>
      <c r="W509" s="18">
        <f t="shared" si="524"/>
        <v>0</v>
      </c>
      <c r="X509" s="18">
        <f t="shared" si="524"/>
        <v>0</v>
      </c>
      <c r="Y509" s="18">
        <f t="shared" si="524"/>
        <v>0</v>
      </c>
      <c r="Z509" s="18">
        <f t="shared" si="524"/>
        <v>0</v>
      </c>
      <c r="AA509" s="18">
        <f t="shared" si="524"/>
        <v>0</v>
      </c>
      <c r="AB509" s="18">
        <f t="shared" si="524"/>
        <v>0</v>
      </c>
      <c r="AC509" s="18">
        <f t="shared" si="524"/>
        <v>0</v>
      </c>
      <c r="AD509" s="18">
        <f t="shared" si="524"/>
        <v>0</v>
      </c>
      <c r="AE509" s="18">
        <f t="shared" si="524"/>
        <v>0</v>
      </c>
      <c r="AF509" s="18">
        <f t="shared" si="524"/>
        <v>0</v>
      </c>
      <c r="AG509" s="18">
        <f t="shared" si="524"/>
        <v>0</v>
      </c>
      <c r="AH509" s="18">
        <f t="shared" si="524"/>
        <v>0</v>
      </c>
      <c r="AI509" s="18">
        <f t="shared" si="524"/>
        <v>0</v>
      </c>
      <c r="AJ509" s="18">
        <f t="shared" si="524"/>
        <v>0</v>
      </c>
      <c r="AK509" s="18">
        <f t="shared" si="524"/>
        <v>0</v>
      </c>
      <c r="AL509" s="18">
        <f t="shared" si="524"/>
        <v>0</v>
      </c>
      <c r="AM509" s="47">
        <f t="shared" si="524"/>
        <v>0</v>
      </c>
      <c r="AN509" s="18">
        <f t="shared" si="524"/>
        <v>0</v>
      </c>
      <c r="AO509" s="18">
        <f t="shared" si="524"/>
        <v>0</v>
      </c>
      <c r="AP509" s="18">
        <f t="shared" si="524"/>
        <v>0</v>
      </c>
      <c r="AQ509" s="18">
        <f t="shared" si="524"/>
        <v>0</v>
      </c>
      <c r="AR509" s="18">
        <f t="shared" si="524"/>
        <v>0</v>
      </c>
      <c r="AS509" s="18">
        <f t="shared" si="524"/>
        <v>0</v>
      </c>
      <c r="AT509" s="18">
        <f t="shared" si="524"/>
        <v>0</v>
      </c>
      <c r="AU509" s="18">
        <f t="shared" si="524"/>
        <v>0</v>
      </c>
      <c r="AV509" s="18">
        <f t="shared" si="524"/>
        <v>0</v>
      </c>
      <c r="AW509" s="18">
        <f t="shared" si="524"/>
        <v>0</v>
      </c>
      <c r="AX509" s="18">
        <f t="shared" si="524"/>
        <v>0</v>
      </c>
    </row>
    <row r="510" spans="1:50" ht="13.5" thickTop="1" x14ac:dyDescent="0.2"/>
    <row r="511" spans="1:50" ht="13.5" thickBot="1" x14ac:dyDescent="0.25">
      <c r="A511" s="25"/>
      <c r="B511" s="25"/>
      <c r="C511" s="27" t="s">
        <v>17</v>
      </c>
      <c r="D511" s="27"/>
    </row>
    <row r="512" spans="1:50" ht="13.5" thickTop="1" x14ac:dyDescent="0.2">
      <c r="A512" s="8">
        <v>10130</v>
      </c>
      <c r="B512" s="89" t="str">
        <f t="shared" ref="B512:B523" si="525">VLOOKUP($A512,$A$5:$K$132,2,FALSE)</f>
        <v>Armidale Regional</v>
      </c>
      <c r="C512" s="9" t="str">
        <f t="shared" ref="C512:C523" si="526">VLOOKUP($A512,$A$5:$K$133,3,FALSE)</f>
        <v>NIRW</v>
      </c>
      <c r="D512" s="51" t="str">
        <f t="shared" ref="D512:D523" si="527">VLOOKUP($A512,$A$5:$K$133,4,FALSE)</f>
        <v>N</v>
      </c>
      <c r="E512" s="10" t="str">
        <f t="shared" ref="E512:E523" si="528">VLOOKUP($A512,$A$5:$AX$132,5,FALSE)</f>
        <v>NEJO</v>
      </c>
      <c r="F512" s="10">
        <f t="shared" ref="F512:F523" si="529">VLOOKUP($A512,$A$5:$AX$132,6,FALSE)</f>
        <v>29704</v>
      </c>
      <c r="G512" s="10">
        <f t="shared" ref="G512:G523" si="530">VLOOKUP($A512,$A$5:$AX$132,7,FALSE)</f>
        <v>12888</v>
      </c>
      <c r="H512" s="10">
        <f t="shared" ref="H512:H523" si="531">VLOOKUP($A512,$A$5:$AX$132,8,FALSE)</f>
        <v>2.3047796399751705</v>
      </c>
      <c r="I512" s="10">
        <f t="shared" ref="I512:I523" si="532">VLOOKUP($A512,$A$5:$AX$132,9,FALSE)</f>
        <v>7809.4</v>
      </c>
      <c r="J512" s="10">
        <f t="shared" ref="J512:J523" si="533">VLOOKUP($A512,$A$5:$AX$132,10,FALSE)</f>
        <v>3.8</v>
      </c>
      <c r="K512" s="10">
        <f t="shared" ref="K512:K523" si="534">VLOOKUP($A512,$A$5:$AX$132,11,FALSE)</f>
        <v>400</v>
      </c>
      <c r="L512" s="10" t="str">
        <f t="shared" ref="L512:L523" si="535">VLOOKUP($A512,$A$4:$AX$132,12,FALSE)</f>
        <v>Y</v>
      </c>
      <c r="M512" s="10">
        <f t="shared" ref="M512:M523" si="536">VLOOKUP($A512,$A$4:$AX$132,13,FALSE)</f>
        <v>10736</v>
      </c>
      <c r="N512" s="10">
        <f t="shared" ref="N512:N523" si="537">VLOOKUP($A512,$A$4:$AX$132,14,FALSE)</f>
        <v>10520</v>
      </c>
      <c r="O512" s="10">
        <f t="shared" ref="O512:O523" si="538">VLOOKUP($A512,$A$4:$AX$132,15,FALSE)</f>
        <v>0</v>
      </c>
      <c r="P512" s="10">
        <f t="shared" ref="P512:P523" si="539">VLOOKUP($A512,$A$4:$AX$132,16,FALSE)</f>
        <v>10680</v>
      </c>
      <c r="Q512" s="10">
        <f t="shared" ref="Q512:Q523" si="540">VLOOKUP($A512,$A$4:$AX$132,17,FALSE)</f>
        <v>0</v>
      </c>
      <c r="R512" s="10" t="str">
        <f t="shared" ref="R512:R523" si="541">VLOOKUP($A512,$A$4:$AX$132,18,FALSE)</f>
        <v>Yes</v>
      </c>
      <c r="S512" s="10" t="str">
        <f t="shared" ref="S512:S523" si="542">VLOOKUP($A512,$A$4:$AX$132,19,FALSE)</f>
        <v>Armidale WTF, Long Swamp Road, Armidale</v>
      </c>
      <c r="T512" s="10" t="str">
        <f t="shared" ref="T512:T523" si="543">VLOOKUP($A512,$A$4:$AX$132,20,FALSE)</f>
        <v>Guyra WTS, Everett Street, Guyra</v>
      </c>
      <c r="U512" s="10" t="str">
        <f t="shared" ref="U512:U523" si="544">VLOOKUP($A512,$A$4:$AX$132,21,FALSE)</f>
        <v>Hillgrove WTS, Wood Street, Hillgrove</v>
      </c>
      <c r="V512" s="10" t="str">
        <f t="shared" ref="V512:V523" si="545">VLOOKUP($A512,$A$4:$AX$132,22,FALSE)</f>
        <v>Wolloomombi WTS, Village Road, Wollomombi</v>
      </c>
      <c r="W512" s="10" t="str">
        <f t="shared" ref="W512:W523" si="546">VLOOKUP($A512,$A$4:$AX$132,23,FALSE)</f>
        <v>Ebor WTS, 8478LI Waterfall Way</v>
      </c>
      <c r="X512" s="10" t="str">
        <f t="shared" ref="X512:X523" si="547">VLOOKUP($A512,$A$4:$AX$132,24,FALSE)</f>
        <v>Lower Creek WTS, 8493 Kempsey Road</v>
      </c>
      <c r="Y512" s="10" t="str">
        <f t="shared" ref="Y512:Y523" si="548">VLOOKUP($A512,$A$4:$AX$132,25,FALSE)</f>
        <v>Ben Lomond WTS, 1536LI Wandsworth Road</v>
      </c>
      <c r="Z512" s="10">
        <f t="shared" ref="Z512:Z523" si="549">VLOOKUP($A512,$A$4:$AX$132,26,FALSE)</f>
        <v>0</v>
      </c>
      <c r="AA512" s="10">
        <f t="shared" ref="AA512:AA523" si="550">VLOOKUP($A512,$A$4:$AX$132,27,FALSE)</f>
        <v>0</v>
      </c>
      <c r="AB512" s="10">
        <f t="shared" ref="AB512:AB523" si="551">VLOOKUP($A512,$A$4:$AX$132,28,FALSE)</f>
        <v>0</v>
      </c>
      <c r="AC512" s="10">
        <f t="shared" ref="AC512:AC523" si="552">VLOOKUP($A512,$A$4:$AX$132,29,FALSE)</f>
        <v>0</v>
      </c>
      <c r="AD512" s="10">
        <f t="shared" ref="AD512:AD523" si="553">VLOOKUP($A512,$A$4:$AX$132,30,FALSE)</f>
        <v>0</v>
      </c>
      <c r="AE512" s="10">
        <f t="shared" ref="AE512:AE523" si="554">VLOOKUP($A512,$A$4:$AX$132,31,FALSE)</f>
        <v>0</v>
      </c>
      <c r="AF512" s="10">
        <f t="shared" ref="AF512:AF523" si="555">VLOOKUP($A512,$A$4:$AX$132,32,FALSE)</f>
        <v>0</v>
      </c>
      <c r="AG512" s="10">
        <f t="shared" ref="AG512:AG523" si="556">VLOOKUP($A512,$A$4:$AX$132,33,FALSE)</f>
        <v>0</v>
      </c>
      <c r="AH512" s="10">
        <f t="shared" ref="AH512:AH523" si="557">VLOOKUP($A512,$A$4:$AX$132,34,FALSE)</f>
        <v>0</v>
      </c>
      <c r="AI512" s="10">
        <f t="shared" ref="AI512:AI523" si="558">VLOOKUP($A512,$A$4:$AX$132,35,FALSE)</f>
        <v>0</v>
      </c>
      <c r="AJ512" s="10">
        <f t="shared" ref="AJ512:AJ523" si="559">VLOOKUP($A512,$A$4:$AX$132,36,FALSE)</f>
        <v>0</v>
      </c>
      <c r="AK512" s="10">
        <f t="shared" ref="AK512:AK523" si="560">VLOOKUP($A512,$A$4:$AX$132,37,FALSE)</f>
        <v>0</v>
      </c>
      <c r="AL512" s="10">
        <f t="shared" ref="AL512:AL523" si="561">VLOOKUP($A512,$A$4:$AX$132,38,FALSE)</f>
        <v>0</v>
      </c>
      <c r="AM512" s="10">
        <f t="shared" ref="AM512:AM523" si="562">VLOOKUP($A512,$A$4:$AX$132,39,FALSE)</f>
        <v>0</v>
      </c>
      <c r="AN512" s="46">
        <f t="shared" ref="AN512:AN523" si="563">VLOOKUP($A512,$A$4:$AX$132,40,FALSE)</f>
        <v>0</v>
      </c>
      <c r="AO512" s="10">
        <f t="shared" ref="AO512:AO523" si="564">VLOOKUP($A512,$A$4:$AX$132,41,FALSE)</f>
        <v>0</v>
      </c>
      <c r="AP512" s="10">
        <f t="shared" ref="AP512:AP523" si="565">VLOOKUP($A512,$A$4:$AX$132,42,FALSE)</f>
        <v>0</v>
      </c>
      <c r="AQ512" s="10">
        <f t="shared" ref="AQ512:AQ523" si="566">VLOOKUP($A512,$A$4:$AX$132,43,FALSE)</f>
        <v>0</v>
      </c>
      <c r="AR512" s="10">
        <f t="shared" ref="AR512:AR523" si="567">VLOOKUP($A512,$A$4:$AX$132,44,FALSE)</f>
        <v>0</v>
      </c>
      <c r="AS512" s="10">
        <f t="shared" ref="AS512:AS523" si="568">VLOOKUP($A512,$A$4:$AX$132,45,FALSE)</f>
        <v>0</v>
      </c>
      <c r="AT512" s="10">
        <f t="shared" ref="AT512:AT523" si="569">VLOOKUP($A512,$A$4:$AX$132,46,FALSE)</f>
        <v>0</v>
      </c>
      <c r="AU512" s="10">
        <f t="shared" ref="AU512:AU523" si="570">VLOOKUP($A512,$A$4:$AX$132,47,FALSE)</f>
        <v>0</v>
      </c>
      <c r="AV512" s="10">
        <f t="shared" ref="AV512:AV523" si="571">VLOOKUP($A512,$A$4:$AX$132,48,FALSE)</f>
        <v>0</v>
      </c>
      <c r="AW512" s="10">
        <f t="shared" ref="AW512:AW523" si="572">VLOOKUP($A512,$A$4:$AX$132,49,FALSE)</f>
        <v>0</v>
      </c>
      <c r="AX512" s="10">
        <f t="shared" ref="AX512:AX523" si="573">VLOOKUP($A512,$A$4:$AX$132,50,FALSE)</f>
        <v>0</v>
      </c>
    </row>
    <row r="513" spans="1:50" x14ac:dyDescent="0.2">
      <c r="A513" s="8">
        <v>13010</v>
      </c>
      <c r="B513" s="89" t="str">
        <f t="shared" si="525"/>
        <v>Glen Innes Severn</v>
      </c>
      <c r="C513" s="9" t="str">
        <f t="shared" si="526"/>
        <v>NIRW</v>
      </c>
      <c r="D513" s="51" t="str">
        <f t="shared" si="527"/>
        <v>N</v>
      </c>
      <c r="E513" s="10" t="str">
        <f t="shared" si="528"/>
        <v>NEJO</v>
      </c>
      <c r="F513" s="10">
        <f t="shared" si="529"/>
        <v>8873</v>
      </c>
      <c r="G513" s="10">
        <f t="shared" si="530"/>
        <v>5428</v>
      </c>
      <c r="H513" s="10">
        <f t="shared" si="531"/>
        <v>1.6346720707442888</v>
      </c>
      <c r="I513" s="10">
        <f t="shared" si="532"/>
        <v>5480</v>
      </c>
      <c r="J513" s="10">
        <f t="shared" si="533"/>
        <v>1.6</v>
      </c>
      <c r="K513" s="10">
        <f t="shared" si="534"/>
        <v>325</v>
      </c>
      <c r="L513" s="10" t="str">
        <f t="shared" si="535"/>
        <v>Y</v>
      </c>
      <c r="M513" s="10">
        <f t="shared" si="536"/>
        <v>3774</v>
      </c>
      <c r="N513" s="10">
        <f t="shared" si="537"/>
        <v>2804</v>
      </c>
      <c r="O513" s="10">
        <f t="shared" si="538"/>
        <v>0</v>
      </c>
      <c r="P513" s="10">
        <f t="shared" si="539"/>
        <v>0</v>
      </c>
      <c r="Q513" s="10">
        <f t="shared" si="540"/>
        <v>0</v>
      </c>
      <c r="R513" s="10" t="str">
        <f t="shared" si="541"/>
        <v>Yes</v>
      </c>
      <c r="S513" s="10">
        <f t="shared" si="542"/>
        <v>0</v>
      </c>
      <c r="T513" s="10">
        <f t="shared" si="543"/>
        <v>0</v>
      </c>
      <c r="U513" s="10">
        <f t="shared" si="544"/>
        <v>0</v>
      </c>
      <c r="V513" s="10">
        <f t="shared" si="545"/>
        <v>0</v>
      </c>
      <c r="W513" s="10">
        <f t="shared" si="546"/>
        <v>0</v>
      </c>
      <c r="X513" s="10">
        <f t="shared" si="547"/>
        <v>0</v>
      </c>
      <c r="Y513" s="10">
        <f t="shared" si="548"/>
        <v>0</v>
      </c>
      <c r="Z513" s="10">
        <f t="shared" si="549"/>
        <v>0</v>
      </c>
      <c r="AA513" s="10">
        <f t="shared" si="550"/>
        <v>0</v>
      </c>
      <c r="AB513" s="10">
        <f t="shared" si="551"/>
        <v>0</v>
      </c>
      <c r="AC513" s="10">
        <f t="shared" si="552"/>
        <v>0</v>
      </c>
      <c r="AD513" s="10">
        <f t="shared" si="553"/>
        <v>0</v>
      </c>
      <c r="AE513" s="10">
        <f t="shared" si="554"/>
        <v>0</v>
      </c>
      <c r="AF513" s="10">
        <f t="shared" si="555"/>
        <v>0</v>
      </c>
      <c r="AG513" s="10">
        <f t="shared" si="556"/>
        <v>0</v>
      </c>
      <c r="AH513" s="10">
        <f t="shared" si="557"/>
        <v>0</v>
      </c>
      <c r="AI513" s="10">
        <f t="shared" si="558"/>
        <v>0</v>
      </c>
      <c r="AJ513" s="10">
        <f t="shared" si="559"/>
        <v>0</v>
      </c>
      <c r="AK513" s="10">
        <f t="shared" si="560"/>
        <v>0</v>
      </c>
      <c r="AL513" s="10">
        <f t="shared" si="561"/>
        <v>0</v>
      </c>
      <c r="AM513" s="10">
        <f t="shared" si="562"/>
        <v>0</v>
      </c>
      <c r="AN513" s="46">
        <f t="shared" si="563"/>
        <v>0</v>
      </c>
      <c r="AO513" s="10">
        <f t="shared" si="564"/>
        <v>0</v>
      </c>
      <c r="AP513" s="10">
        <f t="shared" si="565"/>
        <v>0</v>
      </c>
      <c r="AQ513" s="10">
        <f t="shared" si="566"/>
        <v>0</v>
      </c>
      <c r="AR513" s="10">
        <f t="shared" si="567"/>
        <v>0</v>
      </c>
      <c r="AS513" s="10">
        <f t="shared" si="568"/>
        <v>0</v>
      </c>
      <c r="AT513" s="10">
        <f t="shared" si="569"/>
        <v>0</v>
      </c>
      <c r="AU513" s="10">
        <f t="shared" si="570"/>
        <v>0</v>
      </c>
      <c r="AV513" s="10">
        <f t="shared" si="571"/>
        <v>0</v>
      </c>
      <c r="AW513" s="10">
        <f t="shared" si="572"/>
        <v>0</v>
      </c>
      <c r="AX513" s="10">
        <f t="shared" si="573"/>
        <v>0</v>
      </c>
    </row>
    <row r="514" spans="1:50" x14ac:dyDescent="0.2">
      <c r="A514" s="8">
        <v>13550</v>
      </c>
      <c r="B514" s="89" t="str">
        <f t="shared" si="525"/>
        <v>Gunnedah</v>
      </c>
      <c r="C514" s="9" t="str">
        <f t="shared" si="526"/>
        <v>NIRW</v>
      </c>
      <c r="D514" s="51" t="str">
        <f t="shared" si="527"/>
        <v>N</v>
      </c>
      <c r="E514" s="10" t="str">
        <f t="shared" si="528"/>
        <v>NJO</v>
      </c>
      <c r="F514" s="10">
        <f t="shared" si="529"/>
        <v>12690</v>
      </c>
      <c r="G514" s="10">
        <f t="shared" si="530"/>
        <v>4804</v>
      </c>
      <c r="H514" s="10">
        <f t="shared" si="531"/>
        <v>2.6415487094088261</v>
      </c>
      <c r="I514" s="10">
        <f t="shared" si="532"/>
        <v>4987</v>
      </c>
      <c r="J514" s="10">
        <f t="shared" si="533"/>
        <v>2.5</v>
      </c>
      <c r="K514" s="10">
        <f t="shared" si="534"/>
        <v>425</v>
      </c>
      <c r="L514" s="10" t="str">
        <f t="shared" si="535"/>
        <v>Y</v>
      </c>
      <c r="M514" s="10">
        <f t="shared" si="536"/>
        <v>4487</v>
      </c>
      <c r="N514" s="10">
        <f t="shared" si="537"/>
        <v>4456</v>
      </c>
      <c r="O514" s="10">
        <f t="shared" si="538"/>
        <v>3494</v>
      </c>
      <c r="P514" s="10">
        <f t="shared" si="539"/>
        <v>0</v>
      </c>
      <c r="Q514" s="10">
        <f t="shared" si="540"/>
        <v>0</v>
      </c>
      <c r="R514" s="10" t="str">
        <f t="shared" si="541"/>
        <v>Yes</v>
      </c>
      <c r="S514" s="10" t="str">
        <f t="shared" si="542"/>
        <v>Gunnedah</v>
      </c>
      <c r="T514" s="10" t="str">
        <f t="shared" si="543"/>
        <v>Curlewis</v>
      </c>
      <c r="U514" s="10" t="str">
        <f t="shared" si="544"/>
        <v>Carroll</v>
      </c>
      <c r="V514" s="10" t="str">
        <f t="shared" si="545"/>
        <v>Mulllaley</v>
      </c>
      <c r="W514" s="10" t="str">
        <f t="shared" si="546"/>
        <v>Tambar Springs</v>
      </c>
      <c r="X514" s="10">
        <f t="shared" si="547"/>
        <v>0</v>
      </c>
      <c r="Y514" s="10">
        <f t="shared" si="548"/>
        <v>0</v>
      </c>
      <c r="Z514" s="10">
        <f t="shared" si="549"/>
        <v>0</v>
      </c>
      <c r="AA514" s="10">
        <f t="shared" si="550"/>
        <v>0</v>
      </c>
      <c r="AB514" s="10">
        <f t="shared" si="551"/>
        <v>0</v>
      </c>
      <c r="AC514" s="10">
        <f t="shared" si="552"/>
        <v>0</v>
      </c>
      <c r="AD514" s="10">
        <f t="shared" si="553"/>
        <v>0</v>
      </c>
      <c r="AE514" s="10">
        <f t="shared" si="554"/>
        <v>0</v>
      </c>
      <c r="AF514" s="10">
        <f t="shared" si="555"/>
        <v>0</v>
      </c>
      <c r="AG514" s="10">
        <f t="shared" si="556"/>
        <v>0</v>
      </c>
      <c r="AH514" s="10">
        <f t="shared" si="557"/>
        <v>0</v>
      </c>
      <c r="AI514" s="10">
        <f t="shared" si="558"/>
        <v>0</v>
      </c>
      <c r="AJ514" s="10">
        <f t="shared" si="559"/>
        <v>0</v>
      </c>
      <c r="AK514" s="10">
        <f t="shared" si="560"/>
        <v>0</v>
      </c>
      <c r="AL514" s="10">
        <f t="shared" si="561"/>
        <v>0</v>
      </c>
      <c r="AM514" s="10">
        <f t="shared" si="562"/>
        <v>0</v>
      </c>
      <c r="AN514" s="46">
        <f t="shared" si="563"/>
        <v>0</v>
      </c>
      <c r="AO514" s="10">
        <f t="shared" si="564"/>
        <v>0</v>
      </c>
      <c r="AP514" s="10">
        <f t="shared" si="565"/>
        <v>0</v>
      </c>
      <c r="AQ514" s="10">
        <f t="shared" si="566"/>
        <v>0</v>
      </c>
      <c r="AR514" s="10">
        <f t="shared" si="567"/>
        <v>0</v>
      </c>
      <c r="AS514" s="10">
        <f t="shared" si="568"/>
        <v>0</v>
      </c>
      <c r="AT514" s="10">
        <f t="shared" si="569"/>
        <v>0</v>
      </c>
      <c r="AU514" s="10">
        <f t="shared" si="570"/>
        <v>0</v>
      </c>
      <c r="AV514" s="10">
        <f t="shared" si="571"/>
        <v>0</v>
      </c>
      <c r="AW514" s="10">
        <f t="shared" si="572"/>
        <v>0</v>
      </c>
      <c r="AX514" s="10">
        <f t="shared" si="573"/>
        <v>0</v>
      </c>
    </row>
    <row r="515" spans="1:50" x14ac:dyDescent="0.2">
      <c r="A515" s="8">
        <v>13660</v>
      </c>
      <c r="B515" s="89" t="str">
        <f t="shared" si="525"/>
        <v>Gwydir</v>
      </c>
      <c r="C515" s="9" t="str">
        <f t="shared" si="526"/>
        <v>NIRW</v>
      </c>
      <c r="D515" s="51" t="str">
        <f t="shared" si="527"/>
        <v>N</v>
      </c>
      <c r="E515" s="10" t="str">
        <f t="shared" si="528"/>
        <v>NJO</v>
      </c>
      <c r="F515" s="10">
        <f t="shared" si="529"/>
        <v>5299</v>
      </c>
      <c r="G515" s="10">
        <f t="shared" si="530"/>
        <v>3287</v>
      </c>
      <c r="H515" s="10">
        <f t="shared" si="531"/>
        <v>1.6121083054456951</v>
      </c>
      <c r="I515" s="10">
        <f t="shared" si="532"/>
        <v>9259.7000000000007</v>
      </c>
      <c r="J515" s="10">
        <f t="shared" si="533"/>
        <v>0.6</v>
      </c>
      <c r="K515" s="10">
        <f t="shared" si="534"/>
        <v>365</v>
      </c>
      <c r="L515" s="10" t="str">
        <f t="shared" si="535"/>
        <v>Y</v>
      </c>
      <c r="M515" s="10">
        <f t="shared" si="536"/>
        <v>1488</v>
      </c>
      <c r="N515" s="10">
        <f t="shared" si="537"/>
        <v>1476</v>
      </c>
      <c r="O515" s="10">
        <f t="shared" si="538"/>
        <v>0</v>
      </c>
      <c r="P515" s="10">
        <f t="shared" si="539"/>
        <v>1422</v>
      </c>
      <c r="Q515" s="10">
        <f t="shared" si="540"/>
        <v>0</v>
      </c>
      <c r="R515" s="10" t="str">
        <f t="shared" si="541"/>
        <v>Yes</v>
      </c>
      <c r="S515" s="10" t="str">
        <f t="shared" si="542"/>
        <v>Bingara Landfill 10018 Killarney Gap Road, Bingara, NSW - 2404</v>
      </c>
      <c r="T515" s="10" t="str">
        <f t="shared" si="543"/>
        <v>Warialda Waste Resource Recovery Facility 404 Rubbish Depot, Warialda, NSW 2402</v>
      </c>
      <c r="U515" s="10" t="str">
        <f t="shared" si="544"/>
        <v>Coolatai Landfill 4145 Warialda Road, Coolatai, NSW - 2402</v>
      </c>
      <c r="V515" s="10" t="str">
        <f t="shared" si="545"/>
        <v>Croppa Creek Landfill 2995 Buckie Road, Croppa Creek, NSW - 2411</v>
      </c>
      <c r="W515" s="10" t="str">
        <f t="shared" si="546"/>
        <v>Warialda Rail Landfill MR63 Bingara Road, Warialda Rail, NSW - 2402</v>
      </c>
      <c r="X515" s="10" t="str">
        <f t="shared" si="547"/>
        <v>Upper Horton Landfill 55 Hall Street Upper Horton, NSW 2347</v>
      </c>
      <c r="Y515" s="10" t="str">
        <f t="shared" si="548"/>
        <v>Gravesend Garbage Depot Pump Station Road, Gravesend, NSW - 2401</v>
      </c>
      <c r="Z515" s="10">
        <f t="shared" si="549"/>
        <v>0</v>
      </c>
      <c r="AA515" s="10">
        <f t="shared" si="550"/>
        <v>0</v>
      </c>
      <c r="AB515" s="10">
        <f t="shared" si="551"/>
        <v>0</v>
      </c>
      <c r="AC515" s="10">
        <f t="shared" si="552"/>
        <v>0</v>
      </c>
      <c r="AD515" s="10">
        <f t="shared" si="553"/>
        <v>0</v>
      </c>
      <c r="AE515" s="10">
        <f t="shared" si="554"/>
        <v>0</v>
      </c>
      <c r="AF515" s="10">
        <f t="shared" si="555"/>
        <v>0</v>
      </c>
      <c r="AG515" s="10">
        <f t="shared" si="556"/>
        <v>0</v>
      </c>
      <c r="AH515" s="10">
        <f t="shared" si="557"/>
        <v>0</v>
      </c>
      <c r="AI515" s="10">
        <f t="shared" si="558"/>
        <v>0</v>
      </c>
      <c r="AJ515" s="10">
        <f t="shared" si="559"/>
        <v>0</v>
      </c>
      <c r="AK515" s="10">
        <f t="shared" si="560"/>
        <v>0</v>
      </c>
      <c r="AL515" s="10">
        <f t="shared" si="561"/>
        <v>0</v>
      </c>
      <c r="AM515" s="10">
        <f t="shared" si="562"/>
        <v>0</v>
      </c>
      <c r="AN515" s="46">
        <f t="shared" si="563"/>
        <v>0</v>
      </c>
      <c r="AO515" s="10">
        <f t="shared" si="564"/>
        <v>0</v>
      </c>
      <c r="AP515" s="10">
        <f t="shared" si="565"/>
        <v>0</v>
      </c>
      <c r="AQ515" s="10">
        <f t="shared" si="566"/>
        <v>0</v>
      </c>
      <c r="AR515" s="10">
        <f t="shared" si="567"/>
        <v>0</v>
      </c>
      <c r="AS515" s="10">
        <f t="shared" si="568"/>
        <v>0</v>
      </c>
      <c r="AT515" s="10">
        <f t="shared" si="569"/>
        <v>0</v>
      </c>
      <c r="AU515" s="10">
        <f t="shared" si="570"/>
        <v>0</v>
      </c>
      <c r="AV515" s="10">
        <f t="shared" si="571"/>
        <v>0</v>
      </c>
      <c r="AW515" s="10">
        <f t="shared" si="572"/>
        <v>0</v>
      </c>
      <c r="AX515" s="10">
        <f t="shared" si="573"/>
        <v>0</v>
      </c>
    </row>
    <row r="516" spans="1:50" x14ac:dyDescent="0.2">
      <c r="A516" s="8">
        <v>14200</v>
      </c>
      <c r="B516" s="89" t="str">
        <f t="shared" si="525"/>
        <v>Inverell</v>
      </c>
      <c r="C516" s="9" t="str">
        <f t="shared" si="526"/>
        <v>NIRW</v>
      </c>
      <c r="D516" s="51" t="str">
        <f t="shared" si="527"/>
        <v>N</v>
      </c>
      <c r="E516" s="10" t="str">
        <f t="shared" si="528"/>
        <v>NEJO</v>
      </c>
      <c r="F516" s="10">
        <f t="shared" si="529"/>
        <v>17780</v>
      </c>
      <c r="G516" s="10">
        <f t="shared" si="530"/>
        <v>8587</v>
      </c>
      <c r="H516" s="10">
        <f t="shared" si="531"/>
        <v>2.0705717945731918</v>
      </c>
      <c r="I516" s="10">
        <f t="shared" si="532"/>
        <v>9408.5</v>
      </c>
      <c r="J516" s="10">
        <f t="shared" si="533"/>
        <v>1.9</v>
      </c>
      <c r="K516" s="10">
        <f t="shared" si="534"/>
        <v>340</v>
      </c>
      <c r="L516" s="10" t="str">
        <f t="shared" si="535"/>
        <v>Y</v>
      </c>
      <c r="M516" s="10">
        <f t="shared" si="536"/>
        <v>7115</v>
      </c>
      <c r="N516" s="10">
        <f t="shared" si="537"/>
        <v>7115</v>
      </c>
      <c r="O516" s="10">
        <f t="shared" si="538"/>
        <v>0</v>
      </c>
      <c r="P516" s="10">
        <f t="shared" si="539"/>
        <v>0</v>
      </c>
      <c r="Q516" s="10">
        <f t="shared" si="540"/>
        <v>8587</v>
      </c>
      <c r="R516" s="10" t="str">
        <f t="shared" si="541"/>
        <v>Yes</v>
      </c>
      <c r="S516" s="10" t="str">
        <f t="shared" si="542"/>
        <v>Inverell Landfill Burtenshaw Road Inverell</v>
      </c>
      <c r="T516" s="10" t="str">
        <f t="shared" si="543"/>
        <v>Ashford Waste Transfer Station, Limestone Road, Ashford</v>
      </c>
      <c r="U516" s="10" t="str">
        <f t="shared" si="544"/>
        <v>Bonshaw Waste Transfer Station, Campbells Road, Bonshaw</v>
      </c>
      <c r="V516" s="10" t="str">
        <f t="shared" si="545"/>
        <v>Delungra Waste Transfer Station, Haymarket Road, Delungra</v>
      </c>
      <c r="W516" s="10" t="str">
        <f t="shared" si="546"/>
        <v>Yetman Waste Transfer Station, Warialda Road, Yetman</v>
      </c>
      <c r="X516" s="10" t="str">
        <f t="shared" si="547"/>
        <v>Tingha Landfill, Kempton Road, Tingha</v>
      </c>
      <c r="Y516" s="10">
        <f t="shared" si="548"/>
        <v>0</v>
      </c>
      <c r="Z516" s="10">
        <f t="shared" si="549"/>
        <v>0</v>
      </c>
      <c r="AA516" s="10">
        <f t="shared" si="550"/>
        <v>0</v>
      </c>
      <c r="AB516" s="10">
        <f t="shared" si="551"/>
        <v>0</v>
      </c>
      <c r="AC516" s="10">
        <f t="shared" si="552"/>
        <v>0</v>
      </c>
      <c r="AD516" s="10">
        <f t="shared" si="553"/>
        <v>0</v>
      </c>
      <c r="AE516" s="10">
        <f t="shared" si="554"/>
        <v>0</v>
      </c>
      <c r="AF516" s="10">
        <f t="shared" si="555"/>
        <v>0</v>
      </c>
      <c r="AG516" s="10">
        <f t="shared" si="556"/>
        <v>0</v>
      </c>
      <c r="AH516" s="10">
        <f t="shared" si="557"/>
        <v>0</v>
      </c>
      <c r="AI516" s="10">
        <f t="shared" si="558"/>
        <v>0</v>
      </c>
      <c r="AJ516" s="10">
        <f t="shared" si="559"/>
        <v>0</v>
      </c>
      <c r="AK516" s="10">
        <f t="shared" si="560"/>
        <v>0</v>
      </c>
      <c r="AL516" s="10">
        <f t="shared" si="561"/>
        <v>0</v>
      </c>
      <c r="AM516" s="10">
        <f t="shared" si="562"/>
        <v>0</v>
      </c>
      <c r="AN516" s="46">
        <f t="shared" si="563"/>
        <v>0</v>
      </c>
      <c r="AO516" s="10">
        <f t="shared" si="564"/>
        <v>0</v>
      </c>
      <c r="AP516" s="10">
        <f t="shared" si="565"/>
        <v>0</v>
      </c>
      <c r="AQ516" s="10">
        <f t="shared" si="566"/>
        <v>0</v>
      </c>
      <c r="AR516" s="10">
        <f t="shared" si="567"/>
        <v>0</v>
      </c>
      <c r="AS516" s="10">
        <f t="shared" si="568"/>
        <v>0</v>
      </c>
      <c r="AT516" s="10">
        <f t="shared" si="569"/>
        <v>0</v>
      </c>
      <c r="AU516" s="10">
        <f t="shared" si="570"/>
        <v>0</v>
      </c>
      <c r="AV516" s="10">
        <f t="shared" si="571"/>
        <v>0</v>
      </c>
      <c r="AW516" s="10">
        <f t="shared" si="572"/>
        <v>0</v>
      </c>
      <c r="AX516" s="10">
        <f t="shared" si="573"/>
        <v>0</v>
      </c>
    </row>
    <row r="517" spans="1:50" x14ac:dyDescent="0.2">
      <c r="A517" s="8">
        <v>14920</v>
      </c>
      <c r="B517" s="89" t="str">
        <f t="shared" si="525"/>
        <v>Liverpool Plains</v>
      </c>
      <c r="C517" s="9" t="str">
        <f t="shared" si="526"/>
        <v>NIRW</v>
      </c>
      <c r="D517" s="51" t="str">
        <f t="shared" si="527"/>
        <v>N</v>
      </c>
      <c r="E517" s="10" t="str">
        <f t="shared" si="528"/>
        <v>NJO</v>
      </c>
      <c r="F517" s="10">
        <f t="shared" si="529"/>
        <v>7853</v>
      </c>
      <c r="G517" s="10">
        <f t="shared" si="530"/>
        <v>2825</v>
      </c>
      <c r="H517" s="10">
        <f t="shared" si="531"/>
        <v>2.7798230088495575</v>
      </c>
      <c r="I517" s="10">
        <f t="shared" si="532"/>
        <v>5082.2</v>
      </c>
      <c r="J517" s="10">
        <f t="shared" si="533"/>
        <v>1.5</v>
      </c>
      <c r="K517" s="10">
        <f t="shared" si="534"/>
        <v>408</v>
      </c>
      <c r="L517" s="10" t="str">
        <f t="shared" si="535"/>
        <v>Y</v>
      </c>
      <c r="M517" s="10">
        <f t="shared" si="536"/>
        <v>2576</v>
      </c>
      <c r="N517" s="10">
        <f t="shared" si="537"/>
        <v>2556</v>
      </c>
      <c r="O517" s="10">
        <f t="shared" si="538"/>
        <v>0</v>
      </c>
      <c r="P517" s="10">
        <f t="shared" si="539"/>
        <v>0</v>
      </c>
      <c r="Q517" s="10">
        <f t="shared" si="540"/>
        <v>2825</v>
      </c>
      <c r="R517" s="10" t="str">
        <f t="shared" si="541"/>
        <v>Yes</v>
      </c>
      <c r="S517" s="10">
        <f t="shared" si="542"/>
        <v>0</v>
      </c>
      <c r="T517" s="10">
        <f t="shared" si="543"/>
        <v>0</v>
      </c>
      <c r="U517" s="10">
        <f t="shared" si="544"/>
        <v>0</v>
      </c>
      <c r="V517" s="10">
        <f t="shared" si="545"/>
        <v>0</v>
      </c>
      <c r="W517" s="10">
        <f t="shared" si="546"/>
        <v>0</v>
      </c>
      <c r="X517" s="10">
        <f t="shared" si="547"/>
        <v>0</v>
      </c>
      <c r="Y517" s="10">
        <f t="shared" si="548"/>
        <v>0</v>
      </c>
      <c r="Z517" s="10">
        <f t="shared" si="549"/>
        <v>0</v>
      </c>
      <c r="AA517" s="10">
        <f t="shared" si="550"/>
        <v>0</v>
      </c>
      <c r="AB517" s="10">
        <f t="shared" si="551"/>
        <v>0</v>
      </c>
      <c r="AC517" s="10">
        <f t="shared" si="552"/>
        <v>0</v>
      </c>
      <c r="AD517" s="10">
        <f t="shared" si="553"/>
        <v>0</v>
      </c>
      <c r="AE517" s="10">
        <f t="shared" si="554"/>
        <v>0</v>
      </c>
      <c r="AF517" s="10">
        <f t="shared" si="555"/>
        <v>0</v>
      </c>
      <c r="AG517" s="10">
        <f t="shared" si="556"/>
        <v>0</v>
      </c>
      <c r="AH517" s="10">
        <f t="shared" si="557"/>
        <v>0</v>
      </c>
      <c r="AI517" s="10">
        <f t="shared" si="558"/>
        <v>0</v>
      </c>
      <c r="AJ517" s="10">
        <f t="shared" si="559"/>
        <v>0</v>
      </c>
      <c r="AK517" s="10">
        <f t="shared" si="560"/>
        <v>0</v>
      </c>
      <c r="AL517" s="10">
        <f t="shared" si="561"/>
        <v>0</v>
      </c>
      <c r="AM517" s="10">
        <f t="shared" si="562"/>
        <v>0</v>
      </c>
      <c r="AN517" s="46">
        <f t="shared" si="563"/>
        <v>0</v>
      </c>
      <c r="AO517" s="10">
        <f t="shared" si="564"/>
        <v>0</v>
      </c>
      <c r="AP517" s="10">
        <f t="shared" si="565"/>
        <v>0</v>
      </c>
      <c r="AQ517" s="10">
        <f t="shared" si="566"/>
        <v>0</v>
      </c>
      <c r="AR517" s="10">
        <f t="shared" si="567"/>
        <v>0</v>
      </c>
      <c r="AS517" s="10">
        <f t="shared" si="568"/>
        <v>0</v>
      </c>
      <c r="AT517" s="10">
        <f t="shared" si="569"/>
        <v>0</v>
      </c>
      <c r="AU517" s="10">
        <f t="shared" si="570"/>
        <v>0</v>
      </c>
      <c r="AV517" s="10">
        <f t="shared" si="571"/>
        <v>0</v>
      </c>
      <c r="AW517" s="10">
        <f t="shared" si="572"/>
        <v>0</v>
      </c>
      <c r="AX517" s="10">
        <f t="shared" si="573"/>
        <v>0</v>
      </c>
    </row>
    <row r="518" spans="1:50" x14ac:dyDescent="0.2">
      <c r="A518" s="8">
        <v>15300</v>
      </c>
      <c r="B518" s="89" t="str">
        <f t="shared" si="525"/>
        <v>Moree Plains</v>
      </c>
      <c r="C518" s="9" t="str">
        <f t="shared" si="526"/>
        <v>NIRW</v>
      </c>
      <c r="D518" s="51" t="str">
        <f t="shared" si="527"/>
        <v>N</v>
      </c>
      <c r="E518" s="10" t="str">
        <f t="shared" si="528"/>
        <v>NEJO</v>
      </c>
      <c r="F518" s="10">
        <f t="shared" si="529"/>
        <v>13077</v>
      </c>
      <c r="G518" s="10">
        <f t="shared" si="530"/>
        <v>6359</v>
      </c>
      <c r="H518" s="10">
        <f t="shared" si="531"/>
        <v>2.0564554175184777</v>
      </c>
      <c r="I518" s="10">
        <f t="shared" si="532"/>
        <v>17906.5</v>
      </c>
      <c r="J518" s="10">
        <f t="shared" si="533"/>
        <v>0.7</v>
      </c>
      <c r="K518" s="10">
        <f t="shared" si="534"/>
        <v>440</v>
      </c>
      <c r="L518" s="10" t="str">
        <f t="shared" si="535"/>
        <v>Y</v>
      </c>
      <c r="M518" s="10">
        <f t="shared" si="536"/>
        <v>6359</v>
      </c>
      <c r="N518" s="10">
        <f t="shared" si="537"/>
        <v>613</v>
      </c>
      <c r="O518" s="10">
        <f t="shared" si="538"/>
        <v>0</v>
      </c>
      <c r="P518" s="10">
        <f t="shared" si="539"/>
        <v>4658</v>
      </c>
      <c r="Q518" s="10">
        <f t="shared" si="540"/>
        <v>6359</v>
      </c>
      <c r="R518" s="10" t="str">
        <f t="shared" si="541"/>
        <v>Yes</v>
      </c>
      <c r="S518" s="10" t="str">
        <f t="shared" si="542"/>
        <v>Moree Waste Management Facility</v>
      </c>
      <c r="T518" s="10" t="str">
        <f t="shared" si="543"/>
        <v xml:space="preserve">Biniguy Landfill </v>
      </c>
      <c r="U518" s="10" t="str">
        <f t="shared" si="544"/>
        <v xml:space="preserve">Boggabilla Landfill </v>
      </c>
      <c r="V518" s="10" t="str">
        <f t="shared" si="545"/>
        <v>Boomi Landfill</v>
      </c>
      <c r="W518" s="10" t="str">
        <f t="shared" si="546"/>
        <v xml:space="preserve">Garah Landfill </v>
      </c>
      <c r="X518" s="10" t="str">
        <f t="shared" si="547"/>
        <v xml:space="preserve">Gurley Landfill </v>
      </c>
      <c r="Y518" s="10" t="str">
        <f t="shared" si="548"/>
        <v xml:space="preserve">Mungindi Landfill </v>
      </c>
      <c r="Z518" s="10">
        <f t="shared" si="549"/>
        <v>0</v>
      </c>
      <c r="AA518" s="10">
        <f t="shared" si="550"/>
        <v>0</v>
      </c>
      <c r="AB518" s="10">
        <f t="shared" si="551"/>
        <v>0</v>
      </c>
      <c r="AC518" s="10">
        <f t="shared" si="552"/>
        <v>0</v>
      </c>
      <c r="AD518" s="10">
        <f t="shared" si="553"/>
        <v>0</v>
      </c>
      <c r="AE518" s="10">
        <f t="shared" si="554"/>
        <v>0</v>
      </c>
      <c r="AF518" s="10">
        <f t="shared" si="555"/>
        <v>0</v>
      </c>
      <c r="AG518" s="10">
        <f t="shared" si="556"/>
        <v>0</v>
      </c>
      <c r="AH518" s="10">
        <f t="shared" si="557"/>
        <v>0</v>
      </c>
      <c r="AI518" s="10">
        <f t="shared" si="558"/>
        <v>0</v>
      </c>
      <c r="AJ518" s="10">
        <f t="shared" si="559"/>
        <v>0</v>
      </c>
      <c r="AK518" s="10">
        <f t="shared" si="560"/>
        <v>0</v>
      </c>
      <c r="AL518" s="10">
        <f t="shared" si="561"/>
        <v>0</v>
      </c>
      <c r="AM518" s="10">
        <f t="shared" si="562"/>
        <v>0</v>
      </c>
      <c r="AN518" s="46">
        <f t="shared" si="563"/>
        <v>0</v>
      </c>
      <c r="AO518" s="10">
        <f t="shared" si="564"/>
        <v>0</v>
      </c>
      <c r="AP518" s="10">
        <f t="shared" si="565"/>
        <v>0</v>
      </c>
      <c r="AQ518" s="10">
        <f t="shared" si="566"/>
        <v>0</v>
      </c>
      <c r="AR518" s="10">
        <f t="shared" si="567"/>
        <v>0</v>
      </c>
      <c r="AS518" s="10">
        <f t="shared" si="568"/>
        <v>0</v>
      </c>
      <c r="AT518" s="10">
        <f t="shared" si="569"/>
        <v>0</v>
      </c>
      <c r="AU518" s="10">
        <f t="shared" si="570"/>
        <v>0</v>
      </c>
      <c r="AV518" s="10">
        <f t="shared" si="571"/>
        <v>0</v>
      </c>
      <c r="AW518" s="10">
        <f t="shared" si="572"/>
        <v>0</v>
      </c>
      <c r="AX518" s="10">
        <f t="shared" si="573"/>
        <v>0</v>
      </c>
    </row>
    <row r="519" spans="1:50" x14ac:dyDescent="0.2">
      <c r="A519" s="8">
        <v>15750</v>
      </c>
      <c r="B519" s="89" t="str">
        <f t="shared" si="525"/>
        <v>Narrabri</v>
      </c>
      <c r="C519" s="9" t="str">
        <f t="shared" si="526"/>
        <v>NIRW</v>
      </c>
      <c r="D519" s="51" t="str">
        <f t="shared" si="527"/>
        <v>N</v>
      </c>
      <c r="E519" s="10" t="str">
        <f t="shared" si="528"/>
        <v>NEJO</v>
      </c>
      <c r="F519" s="10">
        <f t="shared" si="529"/>
        <v>13049</v>
      </c>
      <c r="G519" s="10">
        <f t="shared" si="530"/>
        <v>6857</v>
      </c>
      <c r="H519" s="10">
        <f t="shared" si="531"/>
        <v>1.9030188128919352</v>
      </c>
      <c r="I519" s="10">
        <f t="shared" si="532"/>
        <v>13015</v>
      </c>
      <c r="J519" s="10">
        <f t="shared" si="533"/>
        <v>1</v>
      </c>
      <c r="K519" s="10">
        <f t="shared" si="534"/>
        <v>330</v>
      </c>
      <c r="L519" s="10" t="str">
        <f t="shared" si="535"/>
        <v>Y</v>
      </c>
      <c r="M519" s="10">
        <f t="shared" si="536"/>
        <v>4362</v>
      </c>
      <c r="N519" s="10">
        <f t="shared" si="537"/>
        <v>4294</v>
      </c>
      <c r="O519" s="10">
        <f t="shared" si="538"/>
        <v>0</v>
      </c>
      <c r="P519" s="10">
        <f t="shared" si="539"/>
        <v>4294</v>
      </c>
      <c r="Q519" s="10">
        <f t="shared" si="540"/>
        <v>6857</v>
      </c>
      <c r="R519" s="10" t="str">
        <f t="shared" si="541"/>
        <v>Yes</v>
      </c>
      <c r="S519" s="10" t="str">
        <f t="shared" si="542"/>
        <v>9 shire transfer stations</v>
      </c>
      <c r="T519" s="10">
        <f t="shared" si="543"/>
        <v>0</v>
      </c>
      <c r="U519" s="10">
        <f t="shared" si="544"/>
        <v>0</v>
      </c>
      <c r="V519" s="10">
        <f t="shared" si="545"/>
        <v>0</v>
      </c>
      <c r="W519" s="10">
        <f t="shared" si="546"/>
        <v>0</v>
      </c>
      <c r="X519" s="10">
        <f t="shared" si="547"/>
        <v>0</v>
      </c>
      <c r="Y519" s="10">
        <f t="shared" si="548"/>
        <v>0</v>
      </c>
      <c r="Z519" s="10">
        <f t="shared" si="549"/>
        <v>0</v>
      </c>
      <c r="AA519" s="10">
        <f t="shared" si="550"/>
        <v>0</v>
      </c>
      <c r="AB519" s="10">
        <f t="shared" si="551"/>
        <v>0</v>
      </c>
      <c r="AC519" s="10">
        <f t="shared" si="552"/>
        <v>0</v>
      </c>
      <c r="AD519" s="10">
        <f t="shared" si="553"/>
        <v>0</v>
      </c>
      <c r="AE519" s="10">
        <f t="shared" si="554"/>
        <v>0</v>
      </c>
      <c r="AF519" s="10">
        <f t="shared" si="555"/>
        <v>0</v>
      </c>
      <c r="AG519" s="10">
        <f t="shared" si="556"/>
        <v>0</v>
      </c>
      <c r="AH519" s="10">
        <f t="shared" si="557"/>
        <v>0</v>
      </c>
      <c r="AI519" s="10">
        <f t="shared" si="558"/>
        <v>0</v>
      </c>
      <c r="AJ519" s="10">
        <f t="shared" si="559"/>
        <v>0</v>
      </c>
      <c r="AK519" s="10">
        <f t="shared" si="560"/>
        <v>0</v>
      </c>
      <c r="AL519" s="10">
        <f t="shared" si="561"/>
        <v>0</v>
      </c>
      <c r="AM519" s="10">
        <f t="shared" si="562"/>
        <v>0</v>
      </c>
      <c r="AN519" s="46">
        <f t="shared" si="563"/>
        <v>0</v>
      </c>
      <c r="AO519" s="10">
        <f t="shared" si="564"/>
        <v>0</v>
      </c>
      <c r="AP519" s="10">
        <f t="shared" si="565"/>
        <v>0</v>
      </c>
      <c r="AQ519" s="10">
        <f t="shared" si="566"/>
        <v>0</v>
      </c>
      <c r="AR519" s="10">
        <f t="shared" si="567"/>
        <v>0</v>
      </c>
      <c r="AS519" s="10">
        <f t="shared" si="568"/>
        <v>0</v>
      </c>
      <c r="AT519" s="10">
        <f t="shared" si="569"/>
        <v>0</v>
      </c>
      <c r="AU519" s="10">
        <f t="shared" si="570"/>
        <v>0</v>
      </c>
      <c r="AV519" s="10">
        <f t="shared" si="571"/>
        <v>0</v>
      </c>
      <c r="AW519" s="10">
        <f t="shared" si="572"/>
        <v>0</v>
      </c>
      <c r="AX519" s="10">
        <f t="shared" si="573"/>
        <v>0</v>
      </c>
    </row>
    <row r="520" spans="1:50" x14ac:dyDescent="0.2">
      <c r="A520" s="8">
        <v>17310</v>
      </c>
      <c r="B520" s="89" t="str">
        <f t="shared" si="525"/>
        <v>Tamworth Regional</v>
      </c>
      <c r="C520" s="9" t="str">
        <f t="shared" si="526"/>
        <v>NIRW</v>
      </c>
      <c r="D520" s="51" t="str">
        <f t="shared" si="527"/>
        <v>N</v>
      </c>
      <c r="E520" s="10" t="str">
        <f t="shared" si="528"/>
        <v>NJO</v>
      </c>
      <c r="F520" s="10">
        <f t="shared" si="529"/>
        <v>62545</v>
      </c>
      <c r="G520" s="10">
        <f t="shared" si="530"/>
        <v>28082</v>
      </c>
      <c r="H520" s="10">
        <f t="shared" si="531"/>
        <v>2.2272274054554519</v>
      </c>
      <c r="I520" s="10">
        <f t="shared" si="532"/>
        <v>9884.4</v>
      </c>
      <c r="J520" s="10">
        <f t="shared" si="533"/>
        <v>6.3</v>
      </c>
      <c r="K520" s="10">
        <f t="shared" si="534"/>
        <v>322</v>
      </c>
      <c r="L520" s="10" t="str">
        <f t="shared" si="535"/>
        <v>Y</v>
      </c>
      <c r="M520" s="10">
        <f t="shared" si="536"/>
        <v>28082</v>
      </c>
      <c r="N520" s="10">
        <f t="shared" si="537"/>
        <v>25078</v>
      </c>
      <c r="O520" s="10">
        <f t="shared" si="538"/>
        <v>19861</v>
      </c>
      <c r="P520" s="10">
        <f t="shared" si="539"/>
        <v>0</v>
      </c>
      <c r="Q520" s="10">
        <f t="shared" si="540"/>
        <v>28082</v>
      </c>
      <c r="R520" s="10" t="str">
        <f t="shared" si="541"/>
        <v>Yes</v>
      </c>
      <c r="S520" s="10" t="str">
        <f t="shared" si="542"/>
        <v>Forest Road Landfill 123A Forest Road North Tamworth</v>
      </c>
      <c r="T520" s="10" t="str">
        <f t="shared" si="543"/>
        <v>Barraba Landfill</v>
      </c>
      <c r="U520" s="10" t="str">
        <f t="shared" si="544"/>
        <v>Manilla Landfill</v>
      </c>
      <c r="V520" s="10" t="str">
        <f t="shared" si="545"/>
        <v>Nundle Landfill</v>
      </c>
      <c r="W520" s="10" t="str">
        <f t="shared" si="546"/>
        <v>Somerton SVTS</v>
      </c>
      <c r="X520" s="10" t="str">
        <f t="shared" si="547"/>
        <v>Kootingal SVTS</v>
      </c>
      <c r="Y520" s="10" t="str">
        <f t="shared" si="548"/>
        <v>Duri SVTS, Dungowan SVTS, Bendemeer SVTS, Niangala SVTS</v>
      </c>
      <c r="Z520" s="10">
        <f t="shared" si="549"/>
        <v>0</v>
      </c>
      <c r="AA520" s="10">
        <f t="shared" si="550"/>
        <v>0</v>
      </c>
      <c r="AB520" s="10">
        <f t="shared" si="551"/>
        <v>0</v>
      </c>
      <c r="AC520" s="10">
        <f t="shared" si="552"/>
        <v>0</v>
      </c>
      <c r="AD520" s="10">
        <f t="shared" si="553"/>
        <v>0</v>
      </c>
      <c r="AE520" s="10">
        <f t="shared" si="554"/>
        <v>0</v>
      </c>
      <c r="AF520" s="10">
        <f t="shared" si="555"/>
        <v>0</v>
      </c>
      <c r="AG520" s="10">
        <f t="shared" si="556"/>
        <v>0</v>
      </c>
      <c r="AH520" s="10">
        <f t="shared" si="557"/>
        <v>0</v>
      </c>
      <c r="AI520" s="10">
        <f t="shared" si="558"/>
        <v>0</v>
      </c>
      <c r="AJ520" s="10">
        <f t="shared" si="559"/>
        <v>0</v>
      </c>
      <c r="AK520" s="10">
        <f t="shared" si="560"/>
        <v>0</v>
      </c>
      <c r="AL520" s="10">
        <f t="shared" si="561"/>
        <v>0</v>
      </c>
      <c r="AM520" s="10">
        <f t="shared" si="562"/>
        <v>0</v>
      </c>
      <c r="AN520" s="46">
        <f t="shared" si="563"/>
        <v>0</v>
      </c>
      <c r="AO520" s="10">
        <f t="shared" si="564"/>
        <v>0</v>
      </c>
      <c r="AP520" s="10">
        <f t="shared" si="565"/>
        <v>0</v>
      </c>
      <c r="AQ520" s="10">
        <f t="shared" si="566"/>
        <v>0</v>
      </c>
      <c r="AR520" s="10">
        <f t="shared" si="567"/>
        <v>0</v>
      </c>
      <c r="AS520" s="10">
        <f t="shared" si="568"/>
        <v>0</v>
      </c>
      <c r="AT520" s="10">
        <f t="shared" si="569"/>
        <v>0</v>
      </c>
      <c r="AU520" s="10">
        <f t="shared" si="570"/>
        <v>0</v>
      </c>
      <c r="AV520" s="10">
        <f t="shared" si="571"/>
        <v>0</v>
      </c>
      <c r="AW520" s="10">
        <f t="shared" si="572"/>
        <v>0</v>
      </c>
      <c r="AX520" s="10">
        <f t="shared" si="573"/>
        <v>0</v>
      </c>
    </row>
    <row r="521" spans="1:50" x14ac:dyDescent="0.2">
      <c r="A521" s="8">
        <v>17400</v>
      </c>
      <c r="B521" s="89" t="str">
        <f t="shared" si="525"/>
        <v>Tenterfield</v>
      </c>
      <c r="C521" s="9" t="str">
        <f t="shared" si="526"/>
        <v>NIRW</v>
      </c>
      <c r="D521" s="51" t="str">
        <f t="shared" si="527"/>
        <v>N</v>
      </c>
      <c r="E521" s="10" t="str">
        <f t="shared" si="528"/>
        <v>NEJO</v>
      </c>
      <c r="F521" s="10">
        <f t="shared" si="529"/>
        <v>6470</v>
      </c>
      <c r="G521" s="10">
        <f t="shared" si="530"/>
        <v>4933</v>
      </c>
      <c r="H521" s="10">
        <f t="shared" si="531"/>
        <v>1.3115751064261099</v>
      </c>
      <c r="I521" s="10">
        <f t="shared" si="532"/>
        <v>7322.8</v>
      </c>
      <c r="J521" s="10">
        <f t="shared" si="533"/>
        <v>0.9</v>
      </c>
      <c r="K521" s="10">
        <f t="shared" si="534"/>
        <v>612</v>
      </c>
      <c r="L521" s="10" t="str">
        <f t="shared" si="535"/>
        <v>Y</v>
      </c>
      <c r="M521" s="10">
        <f t="shared" si="536"/>
        <v>2314</v>
      </c>
      <c r="N521" s="10">
        <f t="shared" si="537"/>
        <v>1740</v>
      </c>
      <c r="O521" s="10">
        <f t="shared" si="538"/>
        <v>0</v>
      </c>
      <c r="P521" s="10">
        <f t="shared" si="539"/>
        <v>0</v>
      </c>
      <c r="Q521" s="10">
        <f t="shared" si="540"/>
        <v>0</v>
      </c>
      <c r="R521" s="10" t="str">
        <f t="shared" si="541"/>
        <v>Yes</v>
      </c>
      <c r="S521" s="10" t="str">
        <f t="shared" si="542"/>
        <v>Tenterfield WTS</v>
      </c>
      <c r="T521" s="10" t="str">
        <f t="shared" si="543"/>
        <v>Liston WTS</v>
      </c>
      <c r="U521" s="10" t="str">
        <f t="shared" si="544"/>
        <v>Legume WTS</v>
      </c>
      <c r="V521" s="10" t="str">
        <f t="shared" si="545"/>
        <v>Drake WTS</v>
      </c>
      <c r="W521" s="10" t="str">
        <f t="shared" si="546"/>
        <v>Urbenville WTS</v>
      </c>
      <c r="X521" s="10" t="str">
        <f t="shared" si="547"/>
        <v>Torrington (Industrial collections) landfill closed</v>
      </c>
      <c r="Y521" s="10" t="str">
        <f t="shared" si="548"/>
        <v>Mingoola (industrial collection)</v>
      </c>
      <c r="Z521" s="10">
        <f t="shared" si="549"/>
        <v>0</v>
      </c>
      <c r="AA521" s="10">
        <f t="shared" si="550"/>
        <v>0</v>
      </c>
      <c r="AB521" s="10">
        <f t="shared" si="551"/>
        <v>0</v>
      </c>
      <c r="AC521" s="10">
        <f t="shared" si="552"/>
        <v>0</v>
      </c>
      <c r="AD521" s="10">
        <f t="shared" si="553"/>
        <v>0</v>
      </c>
      <c r="AE521" s="10">
        <f t="shared" si="554"/>
        <v>0</v>
      </c>
      <c r="AF521" s="10">
        <f t="shared" si="555"/>
        <v>0</v>
      </c>
      <c r="AG521" s="10">
        <f t="shared" si="556"/>
        <v>0</v>
      </c>
      <c r="AH521" s="10">
        <f t="shared" si="557"/>
        <v>0</v>
      </c>
      <c r="AI521" s="10">
        <f t="shared" si="558"/>
        <v>0</v>
      </c>
      <c r="AJ521" s="10">
        <f t="shared" si="559"/>
        <v>0</v>
      </c>
      <c r="AK521" s="10">
        <f t="shared" si="560"/>
        <v>0</v>
      </c>
      <c r="AL521" s="10">
        <f t="shared" si="561"/>
        <v>0</v>
      </c>
      <c r="AM521" s="10">
        <f t="shared" si="562"/>
        <v>0</v>
      </c>
      <c r="AN521" s="46">
        <f t="shared" si="563"/>
        <v>0</v>
      </c>
      <c r="AO521" s="10">
        <f t="shared" si="564"/>
        <v>0</v>
      </c>
      <c r="AP521" s="10">
        <f t="shared" si="565"/>
        <v>0</v>
      </c>
      <c r="AQ521" s="10">
        <f t="shared" si="566"/>
        <v>0</v>
      </c>
      <c r="AR521" s="10">
        <f t="shared" si="567"/>
        <v>0</v>
      </c>
      <c r="AS521" s="10">
        <f t="shared" si="568"/>
        <v>0</v>
      </c>
      <c r="AT521" s="10">
        <f t="shared" si="569"/>
        <v>0</v>
      </c>
      <c r="AU521" s="10">
        <f t="shared" si="570"/>
        <v>0</v>
      </c>
      <c r="AV521" s="10">
        <f t="shared" si="571"/>
        <v>0</v>
      </c>
      <c r="AW521" s="10">
        <f t="shared" si="572"/>
        <v>0</v>
      </c>
      <c r="AX521" s="10">
        <f t="shared" si="573"/>
        <v>0</v>
      </c>
    </row>
    <row r="522" spans="1:50" x14ac:dyDescent="0.2">
      <c r="A522" s="8">
        <v>17650</v>
      </c>
      <c r="B522" s="89" t="str">
        <f t="shared" si="525"/>
        <v>Uralla</v>
      </c>
      <c r="C522" s="9" t="str">
        <f t="shared" si="526"/>
        <v>NIRW</v>
      </c>
      <c r="D522" s="51" t="str">
        <f t="shared" si="527"/>
        <v>N</v>
      </c>
      <c r="E522" s="10" t="str">
        <f t="shared" si="528"/>
        <v>NEJO</v>
      </c>
      <c r="F522" s="10">
        <f t="shared" si="529"/>
        <v>5944</v>
      </c>
      <c r="G522" s="10">
        <f t="shared" si="530"/>
        <v>3160</v>
      </c>
      <c r="H522" s="10">
        <f t="shared" si="531"/>
        <v>1.8810126582278481</v>
      </c>
      <c r="I522" s="10">
        <f t="shared" si="532"/>
        <v>3226.5</v>
      </c>
      <c r="J522" s="10">
        <f t="shared" si="533"/>
        <v>1.8</v>
      </c>
      <c r="K522" s="10">
        <f t="shared" si="534"/>
        <v>352</v>
      </c>
      <c r="L522" s="10" t="str">
        <f t="shared" si="535"/>
        <v>Y</v>
      </c>
      <c r="M522" s="10">
        <f t="shared" si="536"/>
        <v>2004</v>
      </c>
      <c r="N522" s="10">
        <f t="shared" si="537"/>
        <v>1899</v>
      </c>
      <c r="O522" s="10">
        <f t="shared" si="538"/>
        <v>99</v>
      </c>
      <c r="P522" s="10">
        <f t="shared" si="539"/>
        <v>0</v>
      </c>
      <c r="Q522" s="10">
        <f t="shared" si="540"/>
        <v>0</v>
      </c>
      <c r="R522" s="10" t="str">
        <f t="shared" si="541"/>
        <v>Yes</v>
      </c>
      <c r="S522" s="10" t="str">
        <f t="shared" si="542"/>
        <v>Uralla Waste Management Facility, Rowan Ave URALLA</v>
      </c>
      <c r="T522" s="10" t="str">
        <f t="shared" si="543"/>
        <v>Bundarra Waste Management Facility, Bingara Road BUNDARRA</v>
      </c>
      <c r="U522" s="10" t="str">
        <f t="shared" si="544"/>
        <v>Kingstown Waste Management Facility, Sawmill Lane KINGSTOWN</v>
      </c>
      <c r="V522" s="10">
        <f t="shared" si="545"/>
        <v>0</v>
      </c>
      <c r="W522" s="10">
        <f t="shared" si="546"/>
        <v>0</v>
      </c>
      <c r="X522" s="10">
        <f t="shared" si="547"/>
        <v>0</v>
      </c>
      <c r="Y522" s="10">
        <f t="shared" si="548"/>
        <v>0</v>
      </c>
      <c r="Z522" s="10">
        <f t="shared" si="549"/>
        <v>0</v>
      </c>
      <c r="AA522" s="10">
        <f t="shared" si="550"/>
        <v>0</v>
      </c>
      <c r="AB522" s="10">
        <f t="shared" si="551"/>
        <v>0</v>
      </c>
      <c r="AC522" s="10">
        <f t="shared" si="552"/>
        <v>0</v>
      </c>
      <c r="AD522" s="10">
        <f t="shared" si="553"/>
        <v>0</v>
      </c>
      <c r="AE522" s="10">
        <f t="shared" si="554"/>
        <v>0</v>
      </c>
      <c r="AF522" s="10">
        <f t="shared" si="555"/>
        <v>0</v>
      </c>
      <c r="AG522" s="10">
        <f t="shared" si="556"/>
        <v>0</v>
      </c>
      <c r="AH522" s="10">
        <f t="shared" si="557"/>
        <v>0</v>
      </c>
      <c r="AI522" s="10">
        <f t="shared" si="558"/>
        <v>0</v>
      </c>
      <c r="AJ522" s="10">
        <f t="shared" si="559"/>
        <v>0</v>
      </c>
      <c r="AK522" s="10">
        <f t="shared" si="560"/>
        <v>0</v>
      </c>
      <c r="AL522" s="10">
        <f t="shared" si="561"/>
        <v>0</v>
      </c>
      <c r="AM522" s="10">
        <f t="shared" si="562"/>
        <v>0</v>
      </c>
      <c r="AN522" s="46">
        <f t="shared" si="563"/>
        <v>0</v>
      </c>
      <c r="AO522" s="10">
        <f t="shared" si="564"/>
        <v>0</v>
      </c>
      <c r="AP522" s="10">
        <f t="shared" si="565"/>
        <v>0</v>
      </c>
      <c r="AQ522" s="10">
        <f t="shared" si="566"/>
        <v>0</v>
      </c>
      <c r="AR522" s="10">
        <f t="shared" si="567"/>
        <v>0</v>
      </c>
      <c r="AS522" s="10">
        <f t="shared" si="568"/>
        <v>0</v>
      </c>
      <c r="AT522" s="10">
        <f t="shared" si="569"/>
        <v>0</v>
      </c>
      <c r="AU522" s="10">
        <f t="shared" si="570"/>
        <v>0</v>
      </c>
      <c r="AV522" s="10">
        <f t="shared" si="571"/>
        <v>0</v>
      </c>
      <c r="AW522" s="10">
        <f t="shared" si="572"/>
        <v>0</v>
      </c>
      <c r="AX522" s="10">
        <f t="shared" si="573"/>
        <v>0</v>
      </c>
    </row>
    <row r="523" spans="1:50" ht="13.5" thickBot="1" x14ac:dyDescent="0.25">
      <c r="A523" s="8">
        <v>17850</v>
      </c>
      <c r="B523" s="89" t="str">
        <f t="shared" si="525"/>
        <v>Walcha</v>
      </c>
      <c r="C523" s="9" t="str">
        <f t="shared" si="526"/>
        <v>NIRW</v>
      </c>
      <c r="D523" s="51" t="str">
        <f t="shared" si="527"/>
        <v>N</v>
      </c>
      <c r="E523" s="10" t="str">
        <f t="shared" si="528"/>
        <v>NJO</v>
      </c>
      <c r="F523" s="10">
        <f t="shared" si="529"/>
        <v>3105</v>
      </c>
      <c r="G523" s="10">
        <f t="shared" si="530"/>
        <v>1829</v>
      </c>
      <c r="H523" s="10">
        <f t="shared" si="531"/>
        <v>1.6976489885183159</v>
      </c>
      <c r="I523" s="10">
        <f t="shared" si="532"/>
        <v>6261</v>
      </c>
      <c r="J523" s="10">
        <f t="shared" si="533"/>
        <v>0.5</v>
      </c>
      <c r="K523" s="10">
        <f t="shared" si="534"/>
        <v>655</v>
      </c>
      <c r="L523" s="10" t="str">
        <f t="shared" si="535"/>
        <v>Y</v>
      </c>
      <c r="M523" s="10">
        <f t="shared" si="536"/>
        <v>781</v>
      </c>
      <c r="N523" s="10">
        <f t="shared" si="537"/>
        <v>763</v>
      </c>
      <c r="O523" s="10">
        <f t="shared" si="538"/>
        <v>763</v>
      </c>
      <c r="P523" s="10">
        <f t="shared" si="539"/>
        <v>0</v>
      </c>
      <c r="Q523" s="10">
        <f t="shared" si="540"/>
        <v>0</v>
      </c>
      <c r="R523" s="10" t="str">
        <f t="shared" si="541"/>
        <v>Yes</v>
      </c>
      <c r="S523" s="10">
        <f t="shared" si="542"/>
        <v>0</v>
      </c>
      <c r="T523" s="10">
        <f t="shared" si="543"/>
        <v>0</v>
      </c>
      <c r="U523" s="10">
        <f t="shared" si="544"/>
        <v>0</v>
      </c>
      <c r="V523" s="10">
        <f t="shared" si="545"/>
        <v>0</v>
      </c>
      <c r="W523" s="10">
        <f t="shared" si="546"/>
        <v>0</v>
      </c>
      <c r="X523" s="10">
        <f t="shared" si="547"/>
        <v>0</v>
      </c>
      <c r="Y523" s="10">
        <f t="shared" si="548"/>
        <v>0</v>
      </c>
      <c r="Z523" s="10">
        <f t="shared" si="549"/>
        <v>0</v>
      </c>
      <c r="AA523" s="10">
        <f t="shared" si="550"/>
        <v>0</v>
      </c>
      <c r="AB523" s="10">
        <f t="shared" si="551"/>
        <v>0</v>
      </c>
      <c r="AC523" s="10">
        <f t="shared" si="552"/>
        <v>0</v>
      </c>
      <c r="AD523" s="10">
        <f t="shared" si="553"/>
        <v>0</v>
      </c>
      <c r="AE523" s="10">
        <f t="shared" si="554"/>
        <v>0</v>
      </c>
      <c r="AF523" s="10">
        <f t="shared" si="555"/>
        <v>0</v>
      </c>
      <c r="AG523" s="10">
        <f t="shared" si="556"/>
        <v>0</v>
      </c>
      <c r="AH523" s="10">
        <f t="shared" si="557"/>
        <v>0</v>
      </c>
      <c r="AI523" s="10">
        <f t="shared" si="558"/>
        <v>0</v>
      </c>
      <c r="AJ523" s="10">
        <f t="shared" si="559"/>
        <v>0</v>
      </c>
      <c r="AK523" s="10">
        <f t="shared" si="560"/>
        <v>0</v>
      </c>
      <c r="AL523" s="10">
        <f t="shared" si="561"/>
        <v>0</v>
      </c>
      <c r="AM523" s="10">
        <f t="shared" si="562"/>
        <v>0</v>
      </c>
      <c r="AN523" s="46">
        <f t="shared" si="563"/>
        <v>0</v>
      </c>
      <c r="AO523" s="10">
        <f t="shared" si="564"/>
        <v>0</v>
      </c>
      <c r="AP523" s="10">
        <f t="shared" si="565"/>
        <v>0</v>
      </c>
      <c r="AQ523" s="10">
        <f t="shared" si="566"/>
        <v>0</v>
      </c>
      <c r="AR523" s="10">
        <f t="shared" si="567"/>
        <v>0</v>
      </c>
      <c r="AS523" s="10">
        <f t="shared" si="568"/>
        <v>0</v>
      </c>
      <c r="AT523" s="10">
        <f t="shared" si="569"/>
        <v>0</v>
      </c>
      <c r="AU523" s="10">
        <f t="shared" si="570"/>
        <v>0</v>
      </c>
      <c r="AV523" s="10">
        <f t="shared" si="571"/>
        <v>0</v>
      </c>
      <c r="AW523" s="10">
        <f t="shared" si="572"/>
        <v>0</v>
      </c>
      <c r="AX523" s="10">
        <f t="shared" si="573"/>
        <v>0</v>
      </c>
    </row>
    <row r="524" spans="1:50" ht="13.5" thickTop="1" x14ac:dyDescent="0.2">
      <c r="A524" s="11"/>
      <c r="B524" s="11"/>
      <c r="C524" s="11" t="s">
        <v>30</v>
      </c>
      <c r="D524" s="11"/>
      <c r="E524" s="12"/>
      <c r="F524" s="13">
        <f t="shared" ref="F524:AX524" si="574">COUNTIF(F512:F523,"&gt;0")</f>
        <v>12</v>
      </c>
      <c r="G524" s="13">
        <f t="shared" si="574"/>
        <v>12</v>
      </c>
      <c r="H524" s="13">
        <f t="shared" si="574"/>
        <v>12</v>
      </c>
      <c r="I524" s="13">
        <f t="shared" si="574"/>
        <v>12</v>
      </c>
      <c r="J524" s="13">
        <f t="shared" si="574"/>
        <v>12</v>
      </c>
      <c r="K524" s="13">
        <f t="shared" si="574"/>
        <v>12</v>
      </c>
      <c r="L524" s="13">
        <f t="shared" si="574"/>
        <v>0</v>
      </c>
      <c r="M524" s="13">
        <f t="shared" si="574"/>
        <v>12</v>
      </c>
      <c r="N524" s="13">
        <f t="shared" si="574"/>
        <v>12</v>
      </c>
      <c r="O524" s="13">
        <f t="shared" si="574"/>
        <v>4</v>
      </c>
      <c r="P524" s="13">
        <f t="shared" si="574"/>
        <v>4</v>
      </c>
      <c r="Q524" s="13">
        <f t="shared" si="574"/>
        <v>5</v>
      </c>
      <c r="R524" s="13">
        <f t="shared" si="574"/>
        <v>0</v>
      </c>
      <c r="S524" s="13">
        <f t="shared" si="574"/>
        <v>0</v>
      </c>
      <c r="T524" s="13">
        <f t="shared" si="574"/>
        <v>0</v>
      </c>
      <c r="U524" s="13">
        <f t="shared" si="574"/>
        <v>0</v>
      </c>
      <c r="V524" s="13">
        <f t="shared" si="574"/>
        <v>0</v>
      </c>
      <c r="W524" s="13">
        <f t="shared" si="574"/>
        <v>0</v>
      </c>
      <c r="X524" s="13">
        <f t="shared" si="574"/>
        <v>0</v>
      </c>
      <c r="Y524" s="13">
        <f t="shared" si="574"/>
        <v>0</v>
      </c>
      <c r="Z524" s="13">
        <f t="shared" si="574"/>
        <v>0</v>
      </c>
      <c r="AA524" s="13">
        <f t="shared" si="574"/>
        <v>0</v>
      </c>
      <c r="AB524" s="13">
        <f t="shared" si="574"/>
        <v>0</v>
      </c>
      <c r="AC524" s="13">
        <f t="shared" si="574"/>
        <v>0</v>
      </c>
      <c r="AD524" s="13">
        <f t="shared" si="574"/>
        <v>0</v>
      </c>
      <c r="AE524" s="13">
        <f t="shared" si="574"/>
        <v>0</v>
      </c>
      <c r="AF524" s="13">
        <f t="shared" si="574"/>
        <v>0</v>
      </c>
      <c r="AG524" s="13">
        <f t="shared" si="574"/>
        <v>0</v>
      </c>
      <c r="AH524" s="13">
        <f t="shared" si="574"/>
        <v>0</v>
      </c>
      <c r="AI524" s="13">
        <f t="shared" si="574"/>
        <v>0</v>
      </c>
      <c r="AJ524" s="13">
        <f t="shared" si="574"/>
        <v>0</v>
      </c>
      <c r="AK524" s="13">
        <f t="shared" si="574"/>
        <v>0</v>
      </c>
      <c r="AL524" s="13">
        <f t="shared" si="574"/>
        <v>0</v>
      </c>
      <c r="AM524" s="44">
        <f t="shared" si="574"/>
        <v>0</v>
      </c>
      <c r="AN524" s="13">
        <f t="shared" si="574"/>
        <v>0</v>
      </c>
      <c r="AO524" s="13">
        <f t="shared" si="574"/>
        <v>0</v>
      </c>
      <c r="AP524" s="13">
        <f t="shared" si="574"/>
        <v>0</v>
      </c>
      <c r="AQ524" s="13">
        <f t="shared" si="574"/>
        <v>0</v>
      </c>
      <c r="AR524" s="13">
        <f t="shared" si="574"/>
        <v>0</v>
      </c>
      <c r="AS524" s="13">
        <f t="shared" si="574"/>
        <v>0</v>
      </c>
      <c r="AT524" s="13">
        <f t="shared" si="574"/>
        <v>0</v>
      </c>
      <c r="AU524" s="13">
        <f t="shared" si="574"/>
        <v>0</v>
      </c>
      <c r="AV524" s="13">
        <f t="shared" si="574"/>
        <v>0</v>
      </c>
      <c r="AW524" s="13">
        <f t="shared" si="574"/>
        <v>0</v>
      </c>
      <c r="AX524" s="13">
        <f t="shared" si="574"/>
        <v>0</v>
      </c>
    </row>
    <row r="525" spans="1:50" x14ac:dyDescent="0.2">
      <c r="A525" s="8"/>
      <c r="B525" s="8"/>
      <c r="C525" s="8" t="s">
        <v>31</v>
      </c>
      <c r="D525" s="8"/>
      <c r="E525" s="80"/>
      <c r="F525" s="15">
        <f t="shared" ref="F525:AX525" si="575">SUM(F512:F523)</f>
        <v>186389</v>
      </c>
      <c r="G525" s="15">
        <f t="shared" si="575"/>
        <v>89039</v>
      </c>
      <c r="H525" s="110">
        <f>F525/G525</f>
        <v>2.0933411201832905</v>
      </c>
      <c r="I525" s="15">
        <f t="shared" si="575"/>
        <v>99643</v>
      </c>
      <c r="J525" s="15">
        <f t="shared" si="575"/>
        <v>23.099999999999998</v>
      </c>
      <c r="K525" s="15">
        <f t="shared" si="575"/>
        <v>4974</v>
      </c>
      <c r="L525" s="15">
        <f t="shared" si="575"/>
        <v>0</v>
      </c>
      <c r="M525" s="15">
        <f t="shared" si="575"/>
        <v>74078</v>
      </c>
      <c r="N525" s="15">
        <f t="shared" si="575"/>
        <v>63314</v>
      </c>
      <c r="O525" s="15">
        <f t="shared" si="575"/>
        <v>24217</v>
      </c>
      <c r="P525" s="15">
        <f t="shared" si="575"/>
        <v>21054</v>
      </c>
      <c r="Q525" s="15">
        <f t="shared" si="575"/>
        <v>52710</v>
      </c>
      <c r="R525" s="15">
        <f t="shared" si="575"/>
        <v>0</v>
      </c>
      <c r="S525" s="15">
        <f t="shared" si="575"/>
        <v>0</v>
      </c>
      <c r="T525" s="15">
        <f t="shared" si="575"/>
        <v>0</v>
      </c>
      <c r="U525" s="15">
        <f t="shared" si="575"/>
        <v>0</v>
      </c>
      <c r="V525" s="15">
        <f t="shared" si="575"/>
        <v>0</v>
      </c>
      <c r="W525" s="15">
        <f t="shared" si="575"/>
        <v>0</v>
      </c>
      <c r="X525" s="15">
        <f t="shared" si="575"/>
        <v>0</v>
      </c>
      <c r="Y525" s="15">
        <f t="shared" si="575"/>
        <v>0</v>
      </c>
      <c r="Z525" s="15">
        <f t="shared" si="575"/>
        <v>0</v>
      </c>
      <c r="AA525" s="15">
        <f t="shared" si="575"/>
        <v>0</v>
      </c>
      <c r="AB525" s="15">
        <f t="shared" si="575"/>
        <v>0</v>
      </c>
      <c r="AC525" s="15">
        <f t="shared" si="575"/>
        <v>0</v>
      </c>
      <c r="AD525" s="15">
        <f t="shared" si="575"/>
        <v>0</v>
      </c>
      <c r="AE525" s="15">
        <f t="shared" si="575"/>
        <v>0</v>
      </c>
      <c r="AF525" s="15">
        <f t="shared" si="575"/>
        <v>0</v>
      </c>
      <c r="AG525" s="15">
        <f t="shared" si="575"/>
        <v>0</v>
      </c>
      <c r="AH525" s="15">
        <f t="shared" si="575"/>
        <v>0</v>
      </c>
      <c r="AI525" s="15">
        <f t="shared" si="575"/>
        <v>0</v>
      </c>
      <c r="AJ525" s="15">
        <f t="shared" si="575"/>
        <v>0</v>
      </c>
      <c r="AK525" s="15">
        <f t="shared" si="575"/>
        <v>0</v>
      </c>
      <c r="AL525" s="15">
        <f t="shared" si="575"/>
        <v>0</v>
      </c>
      <c r="AM525" s="45">
        <f t="shared" si="575"/>
        <v>0</v>
      </c>
      <c r="AN525" s="15">
        <f t="shared" si="575"/>
        <v>0</v>
      </c>
      <c r="AO525" s="15">
        <f t="shared" si="575"/>
        <v>0</v>
      </c>
      <c r="AP525" s="15">
        <f t="shared" si="575"/>
        <v>0</v>
      </c>
      <c r="AQ525" s="15">
        <f t="shared" si="575"/>
        <v>0</v>
      </c>
      <c r="AR525" s="15">
        <f t="shared" si="575"/>
        <v>0</v>
      </c>
      <c r="AS525" s="15">
        <f t="shared" si="575"/>
        <v>0</v>
      </c>
      <c r="AT525" s="15">
        <f t="shared" si="575"/>
        <v>0</v>
      </c>
      <c r="AU525" s="15">
        <f t="shared" si="575"/>
        <v>0</v>
      </c>
      <c r="AV525" s="15">
        <f t="shared" si="575"/>
        <v>0</v>
      </c>
      <c r="AW525" s="15">
        <f t="shared" si="575"/>
        <v>0</v>
      </c>
      <c r="AX525" s="15">
        <f t="shared" si="575"/>
        <v>0</v>
      </c>
    </row>
    <row r="526" spans="1:50" x14ac:dyDescent="0.2">
      <c r="A526" s="8"/>
      <c r="B526" s="8"/>
      <c r="C526" s="8" t="s">
        <v>32</v>
      </c>
      <c r="D526" s="8"/>
      <c r="E526" s="80"/>
      <c r="F526" s="10">
        <f t="shared" ref="F526:AX526" si="576">MIN(F512:F523)</f>
        <v>3105</v>
      </c>
      <c r="G526" s="10">
        <f t="shared" si="576"/>
        <v>1829</v>
      </c>
      <c r="H526" s="10">
        <f t="shared" si="576"/>
        <v>1.3115751064261099</v>
      </c>
      <c r="I526" s="10">
        <f t="shared" si="576"/>
        <v>3226.5</v>
      </c>
      <c r="J526" s="10">
        <f t="shared" si="576"/>
        <v>0.5</v>
      </c>
      <c r="K526" s="10">
        <f t="shared" si="576"/>
        <v>322</v>
      </c>
      <c r="L526" s="10">
        <f t="shared" si="576"/>
        <v>0</v>
      </c>
      <c r="M526" s="10">
        <f t="shared" si="576"/>
        <v>781</v>
      </c>
      <c r="N526" s="10">
        <f t="shared" si="576"/>
        <v>613</v>
      </c>
      <c r="O526" s="10">
        <f t="shared" si="576"/>
        <v>0</v>
      </c>
      <c r="P526" s="10">
        <f t="shared" si="576"/>
        <v>0</v>
      </c>
      <c r="Q526" s="10">
        <f t="shared" si="576"/>
        <v>0</v>
      </c>
      <c r="R526" s="10">
        <f t="shared" si="576"/>
        <v>0</v>
      </c>
      <c r="S526" s="10">
        <f t="shared" si="576"/>
        <v>0</v>
      </c>
      <c r="T526" s="10">
        <f t="shared" si="576"/>
        <v>0</v>
      </c>
      <c r="U526" s="10">
        <f t="shared" si="576"/>
        <v>0</v>
      </c>
      <c r="V526" s="10">
        <f t="shared" si="576"/>
        <v>0</v>
      </c>
      <c r="W526" s="10">
        <f t="shared" si="576"/>
        <v>0</v>
      </c>
      <c r="X526" s="10">
        <f t="shared" si="576"/>
        <v>0</v>
      </c>
      <c r="Y526" s="10">
        <f t="shared" si="576"/>
        <v>0</v>
      </c>
      <c r="Z526" s="10">
        <f t="shared" si="576"/>
        <v>0</v>
      </c>
      <c r="AA526" s="10">
        <f t="shared" si="576"/>
        <v>0</v>
      </c>
      <c r="AB526" s="10">
        <f t="shared" si="576"/>
        <v>0</v>
      </c>
      <c r="AC526" s="10">
        <f t="shared" si="576"/>
        <v>0</v>
      </c>
      <c r="AD526" s="10">
        <f t="shared" si="576"/>
        <v>0</v>
      </c>
      <c r="AE526" s="10">
        <f t="shared" si="576"/>
        <v>0</v>
      </c>
      <c r="AF526" s="10">
        <f t="shared" si="576"/>
        <v>0</v>
      </c>
      <c r="AG526" s="10">
        <f t="shared" si="576"/>
        <v>0</v>
      </c>
      <c r="AH526" s="10">
        <f t="shared" si="576"/>
        <v>0</v>
      </c>
      <c r="AI526" s="10">
        <f t="shared" si="576"/>
        <v>0</v>
      </c>
      <c r="AJ526" s="10">
        <f t="shared" si="576"/>
        <v>0</v>
      </c>
      <c r="AK526" s="10">
        <f t="shared" si="576"/>
        <v>0</v>
      </c>
      <c r="AL526" s="10">
        <f t="shared" si="576"/>
        <v>0</v>
      </c>
      <c r="AM526" s="46">
        <f t="shared" si="576"/>
        <v>0</v>
      </c>
      <c r="AN526" s="10">
        <f t="shared" si="576"/>
        <v>0</v>
      </c>
      <c r="AO526" s="10">
        <f t="shared" si="576"/>
        <v>0</v>
      </c>
      <c r="AP526" s="10">
        <f t="shared" si="576"/>
        <v>0</v>
      </c>
      <c r="AQ526" s="10">
        <f t="shared" si="576"/>
        <v>0</v>
      </c>
      <c r="AR526" s="10">
        <f t="shared" si="576"/>
        <v>0</v>
      </c>
      <c r="AS526" s="10">
        <f t="shared" si="576"/>
        <v>0</v>
      </c>
      <c r="AT526" s="10">
        <f t="shared" si="576"/>
        <v>0</v>
      </c>
      <c r="AU526" s="10">
        <f t="shared" si="576"/>
        <v>0</v>
      </c>
      <c r="AV526" s="10">
        <f t="shared" si="576"/>
        <v>0</v>
      </c>
      <c r="AW526" s="10">
        <f t="shared" si="576"/>
        <v>0</v>
      </c>
      <c r="AX526" s="10">
        <f t="shared" si="576"/>
        <v>0</v>
      </c>
    </row>
    <row r="527" spans="1:50" x14ac:dyDescent="0.2">
      <c r="A527" s="8"/>
      <c r="B527" s="8"/>
      <c r="C527" s="8" t="s">
        <v>33</v>
      </c>
      <c r="D527" s="8"/>
      <c r="E527" s="80"/>
      <c r="F527" s="10">
        <f t="shared" ref="F527:AX527" si="577">MAX(F512:F523)</f>
        <v>62545</v>
      </c>
      <c r="G527" s="10">
        <f t="shared" si="577"/>
        <v>28082</v>
      </c>
      <c r="H527" s="10">
        <f t="shared" si="577"/>
        <v>2.7798230088495575</v>
      </c>
      <c r="I527" s="10">
        <f t="shared" si="577"/>
        <v>17906.5</v>
      </c>
      <c r="J527" s="10">
        <f t="shared" si="577"/>
        <v>6.3</v>
      </c>
      <c r="K527" s="10">
        <f t="shared" si="577"/>
        <v>655</v>
      </c>
      <c r="L527" s="10">
        <f t="shared" si="577"/>
        <v>0</v>
      </c>
      <c r="M527" s="10">
        <f t="shared" si="577"/>
        <v>28082</v>
      </c>
      <c r="N527" s="10">
        <f t="shared" si="577"/>
        <v>25078</v>
      </c>
      <c r="O527" s="10">
        <f t="shared" si="577"/>
        <v>19861</v>
      </c>
      <c r="P527" s="10">
        <f t="shared" si="577"/>
        <v>10680</v>
      </c>
      <c r="Q527" s="10">
        <f t="shared" si="577"/>
        <v>28082</v>
      </c>
      <c r="R527" s="10">
        <f t="shared" si="577"/>
        <v>0</v>
      </c>
      <c r="S527" s="10">
        <f t="shared" si="577"/>
        <v>0</v>
      </c>
      <c r="T527" s="10">
        <f t="shared" si="577"/>
        <v>0</v>
      </c>
      <c r="U527" s="10">
        <f t="shared" si="577"/>
        <v>0</v>
      </c>
      <c r="V527" s="10">
        <f t="shared" si="577"/>
        <v>0</v>
      </c>
      <c r="W527" s="10">
        <f t="shared" si="577"/>
        <v>0</v>
      </c>
      <c r="X527" s="10">
        <f t="shared" si="577"/>
        <v>0</v>
      </c>
      <c r="Y527" s="10">
        <f t="shared" si="577"/>
        <v>0</v>
      </c>
      <c r="Z527" s="10">
        <f t="shared" si="577"/>
        <v>0</v>
      </c>
      <c r="AA527" s="10">
        <f t="shared" si="577"/>
        <v>0</v>
      </c>
      <c r="AB527" s="10">
        <f t="shared" si="577"/>
        <v>0</v>
      </c>
      <c r="AC527" s="10">
        <f t="shared" si="577"/>
        <v>0</v>
      </c>
      <c r="AD527" s="10">
        <f t="shared" si="577"/>
        <v>0</v>
      </c>
      <c r="AE527" s="10">
        <f t="shared" si="577"/>
        <v>0</v>
      </c>
      <c r="AF527" s="10">
        <f t="shared" si="577"/>
        <v>0</v>
      </c>
      <c r="AG527" s="10">
        <f t="shared" si="577"/>
        <v>0</v>
      </c>
      <c r="AH527" s="10">
        <f t="shared" si="577"/>
        <v>0</v>
      </c>
      <c r="AI527" s="10">
        <f t="shared" si="577"/>
        <v>0</v>
      </c>
      <c r="AJ527" s="10">
        <f t="shared" si="577"/>
        <v>0</v>
      </c>
      <c r="AK527" s="10">
        <f t="shared" si="577"/>
        <v>0</v>
      </c>
      <c r="AL527" s="10">
        <f t="shared" si="577"/>
        <v>0</v>
      </c>
      <c r="AM527" s="46">
        <f t="shared" si="577"/>
        <v>0</v>
      </c>
      <c r="AN527" s="10">
        <f t="shared" si="577"/>
        <v>0</v>
      </c>
      <c r="AO527" s="10">
        <f t="shared" si="577"/>
        <v>0</v>
      </c>
      <c r="AP527" s="10">
        <f t="shared" si="577"/>
        <v>0</v>
      </c>
      <c r="AQ527" s="10">
        <f t="shared" si="577"/>
        <v>0</v>
      </c>
      <c r="AR527" s="10">
        <f t="shared" si="577"/>
        <v>0</v>
      </c>
      <c r="AS527" s="10">
        <f t="shared" si="577"/>
        <v>0</v>
      </c>
      <c r="AT527" s="10">
        <f t="shared" si="577"/>
        <v>0</v>
      </c>
      <c r="AU527" s="10">
        <f t="shared" si="577"/>
        <v>0</v>
      </c>
      <c r="AV527" s="10">
        <f t="shared" si="577"/>
        <v>0</v>
      </c>
      <c r="AW527" s="10">
        <f t="shared" si="577"/>
        <v>0</v>
      </c>
      <c r="AX527" s="10">
        <f t="shared" si="577"/>
        <v>0</v>
      </c>
    </row>
    <row r="528" spans="1:50" x14ac:dyDescent="0.2">
      <c r="A528" s="8"/>
      <c r="B528" s="8"/>
      <c r="C528" s="8" t="s">
        <v>34</v>
      </c>
      <c r="D528" s="8"/>
      <c r="E528" s="80"/>
      <c r="F528" s="10">
        <f t="shared" ref="F528:AX528" si="578">AVERAGE(F512:F523)</f>
        <v>15532.416666666666</v>
      </c>
      <c r="G528" s="10">
        <f t="shared" si="578"/>
        <v>7419.916666666667</v>
      </c>
      <c r="H528" s="10">
        <f t="shared" si="578"/>
        <v>2.010036826502906</v>
      </c>
      <c r="I528" s="10">
        <f t="shared" si="578"/>
        <v>8303.5833333333339</v>
      </c>
      <c r="J528" s="10">
        <f t="shared" si="578"/>
        <v>1.9249999999999998</v>
      </c>
      <c r="K528" s="10">
        <f t="shared" si="578"/>
        <v>414.5</v>
      </c>
      <c r="L528" s="10" t="e">
        <f t="shared" si="578"/>
        <v>#DIV/0!</v>
      </c>
      <c r="M528" s="10">
        <f t="shared" si="578"/>
        <v>6173.166666666667</v>
      </c>
      <c r="N528" s="10">
        <f t="shared" si="578"/>
        <v>5276.166666666667</v>
      </c>
      <c r="O528" s="10">
        <f t="shared" si="578"/>
        <v>2018.0833333333333</v>
      </c>
      <c r="P528" s="10">
        <f t="shared" si="578"/>
        <v>1754.5</v>
      </c>
      <c r="Q528" s="10">
        <f t="shared" si="578"/>
        <v>4392.5</v>
      </c>
      <c r="R528" s="10" t="e">
        <f t="shared" si="578"/>
        <v>#DIV/0!</v>
      </c>
      <c r="S528" s="10">
        <f t="shared" si="578"/>
        <v>0</v>
      </c>
      <c r="T528" s="10">
        <f t="shared" si="578"/>
        <v>0</v>
      </c>
      <c r="U528" s="10">
        <f t="shared" si="578"/>
        <v>0</v>
      </c>
      <c r="V528" s="10">
        <f t="shared" si="578"/>
        <v>0</v>
      </c>
      <c r="W528" s="10">
        <f t="shared" si="578"/>
        <v>0</v>
      </c>
      <c r="X528" s="10">
        <f t="shared" si="578"/>
        <v>0</v>
      </c>
      <c r="Y528" s="10">
        <f t="shared" si="578"/>
        <v>0</v>
      </c>
      <c r="Z528" s="10">
        <f t="shared" si="578"/>
        <v>0</v>
      </c>
      <c r="AA528" s="10">
        <f t="shared" si="578"/>
        <v>0</v>
      </c>
      <c r="AB528" s="10">
        <f t="shared" si="578"/>
        <v>0</v>
      </c>
      <c r="AC528" s="10">
        <f t="shared" si="578"/>
        <v>0</v>
      </c>
      <c r="AD528" s="10">
        <f t="shared" si="578"/>
        <v>0</v>
      </c>
      <c r="AE528" s="10">
        <f t="shared" si="578"/>
        <v>0</v>
      </c>
      <c r="AF528" s="10">
        <f t="shared" si="578"/>
        <v>0</v>
      </c>
      <c r="AG528" s="10">
        <f t="shared" si="578"/>
        <v>0</v>
      </c>
      <c r="AH528" s="10">
        <f t="shared" si="578"/>
        <v>0</v>
      </c>
      <c r="AI528" s="10">
        <f t="shared" si="578"/>
        <v>0</v>
      </c>
      <c r="AJ528" s="10">
        <f t="shared" si="578"/>
        <v>0</v>
      </c>
      <c r="AK528" s="10">
        <f t="shared" si="578"/>
        <v>0</v>
      </c>
      <c r="AL528" s="10">
        <f t="shared" si="578"/>
        <v>0</v>
      </c>
      <c r="AM528" s="46">
        <f t="shared" si="578"/>
        <v>0</v>
      </c>
      <c r="AN528" s="10">
        <f t="shared" si="578"/>
        <v>0</v>
      </c>
      <c r="AO528" s="10">
        <f t="shared" si="578"/>
        <v>0</v>
      </c>
      <c r="AP528" s="10">
        <f t="shared" si="578"/>
        <v>0</v>
      </c>
      <c r="AQ528" s="10">
        <f t="shared" si="578"/>
        <v>0</v>
      </c>
      <c r="AR528" s="10">
        <f t="shared" si="578"/>
        <v>0</v>
      </c>
      <c r="AS528" s="10">
        <f t="shared" si="578"/>
        <v>0</v>
      </c>
      <c r="AT528" s="10">
        <f t="shared" si="578"/>
        <v>0</v>
      </c>
      <c r="AU528" s="10">
        <f t="shared" si="578"/>
        <v>0</v>
      </c>
      <c r="AV528" s="10">
        <f t="shared" si="578"/>
        <v>0</v>
      </c>
      <c r="AW528" s="10">
        <f t="shared" si="578"/>
        <v>0</v>
      </c>
      <c r="AX528" s="10">
        <f t="shared" si="578"/>
        <v>0</v>
      </c>
    </row>
    <row r="529" spans="1:50" ht="13.5" thickBot="1" x14ac:dyDescent="0.25">
      <c r="A529" s="16"/>
      <c r="B529" s="16"/>
      <c r="C529" s="16" t="s">
        <v>35</v>
      </c>
      <c r="D529" s="16"/>
      <c r="E529" s="80"/>
      <c r="F529" s="18">
        <f t="shared" ref="F529:AX529" si="579">MEDIAN(F512:F523)</f>
        <v>10781.5</v>
      </c>
      <c r="G529" s="18">
        <f t="shared" si="579"/>
        <v>5180.5</v>
      </c>
      <c r="H529" s="18">
        <f t="shared" si="579"/>
        <v>1.9797371152052063</v>
      </c>
      <c r="I529" s="18">
        <f t="shared" si="579"/>
        <v>7566.1</v>
      </c>
      <c r="J529" s="18">
        <f t="shared" si="579"/>
        <v>1.55</v>
      </c>
      <c r="K529" s="18">
        <f t="shared" si="579"/>
        <v>382.5</v>
      </c>
      <c r="L529" s="18" t="e">
        <f t="shared" si="579"/>
        <v>#NUM!</v>
      </c>
      <c r="M529" s="18">
        <f t="shared" si="579"/>
        <v>4068</v>
      </c>
      <c r="N529" s="18">
        <f t="shared" si="579"/>
        <v>2680</v>
      </c>
      <c r="O529" s="18">
        <f t="shared" si="579"/>
        <v>0</v>
      </c>
      <c r="P529" s="18">
        <f t="shared" si="579"/>
        <v>0</v>
      </c>
      <c r="Q529" s="18">
        <f t="shared" si="579"/>
        <v>0</v>
      </c>
      <c r="R529" s="18" t="e">
        <f t="shared" si="579"/>
        <v>#NUM!</v>
      </c>
      <c r="S529" s="18">
        <f t="shared" si="579"/>
        <v>0</v>
      </c>
      <c r="T529" s="18">
        <f t="shared" si="579"/>
        <v>0</v>
      </c>
      <c r="U529" s="18">
        <f t="shared" si="579"/>
        <v>0</v>
      </c>
      <c r="V529" s="18">
        <f t="shared" si="579"/>
        <v>0</v>
      </c>
      <c r="W529" s="18">
        <f t="shared" si="579"/>
        <v>0</v>
      </c>
      <c r="X529" s="18">
        <f t="shared" si="579"/>
        <v>0</v>
      </c>
      <c r="Y529" s="18">
        <f t="shared" si="579"/>
        <v>0</v>
      </c>
      <c r="Z529" s="18">
        <f t="shared" si="579"/>
        <v>0</v>
      </c>
      <c r="AA529" s="18">
        <f t="shared" si="579"/>
        <v>0</v>
      </c>
      <c r="AB529" s="18">
        <f t="shared" si="579"/>
        <v>0</v>
      </c>
      <c r="AC529" s="18">
        <f t="shared" si="579"/>
        <v>0</v>
      </c>
      <c r="AD529" s="18">
        <f t="shared" si="579"/>
        <v>0</v>
      </c>
      <c r="AE529" s="18">
        <f t="shared" si="579"/>
        <v>0</v>
      </c>
      <c r="AF529" s="18">
        <f t="shared" si="579"/>
        <v>0</v>
      </c>
      <c r="AG529" s="18">
        <f t="shared" si="579"/>
        <v>0</v>
      </c>
      <c r="AH529" s="18">
        <f t="shared" si="579"/>
        <v>0</v>
      </c>
      <c r="AI529" s="18">
        <f t="shared" si="579"/>
        <v>0</v>
      </c>
      <c r="AJ529" s="18">
        <f t="shared" si="579"/>
        <v>0</v>
      </c>
      <c r="AK529" s="18">
        <f t="shared" si="579"/>
        <v>0</v>
      </c>
      <c r="AL529" s="18">
        <f t="shared" si="579"/>
        <v>0</v>
      </c>
      <c r="AM529" s="47">
        <f t="shared" si="579"/>
        <v>0</v>
      </c>
      <c r="AN529" s="18">
        <f t="shared" si="579"/>
        <v>0</v>
      </c>
      <c r="AO529" s="18">
        <f t="shared" si="579"/>
        <v>0</v>
      </c>
      <c r="AP529" s="18">
        <f t="shared" si="579"/>
        <v>0</v>
      </c>
      <c r="AQ529" s="18">
        <f t="shared" si="579"/>
        <v>0</v>
      </c>
      <c r="AR529" s="18">
        <f t="shared" si="579"/>
        <v>0</v>
      </c>
      <c r="AS529" s="18">
        <f t="shared" si="579"/>
        <v>0</v>
      </c>
      <c r="AT529" s="18">
        <f t="shared" si="579"/>
        <v>0</v>
      </c>
      <c r="AU529" s="18">
        <f t="shared" si="579"/>
        <v>0</v>
      </c>
      <c r="AV529" s="18">
        <f t="shared" si="579"/>
        <v>0</v>
      </c>
      <c r="AW529" s="18">
        <f t="shared" si="579"/>
        <v>0</v>
      </c>
      <c r="AX529" s="18">
        <f t="shared" si="579"/>
        <v>0</v>
      </c>
    </row>
    <row r="530" spans="1:50" ht="13.5" thickTop="1" x14ac:dyDescent="0.2">
      <c r="B530"/>
      <c r="C530" s="5"/>
      <c r="D530" s="5"/>
    </row>
    <row r="531" spans="1:50" ht="13.5" thickBot="1" x14ac:dyDescent="0.25">
      <c r="A531" s="25"/>
      <c r="B531" s="25"/>
      <c r="C531" s="27" t="s">
        <v>43</v>
      </c>
      <c r="D531" s="27"/>
    </row>
    <row r="532" spans="1:50" ht="13.5" thickTop="1" x14ac:dyDescent="0.2">
      <c r="A532" s="8">
        <v>10600</v>
      </c>
      <c r="B532" s="89" t="str">
        <f t="shared" ref="B532:B537" si="580">VLOOKUP($A532,$A$5:$K$132,2,FALSE)</f>
        <v>Bellingen</v>
      </c>
      <c r="C532" s="9" t="str">
        <f t="shared" ref="C532:C537" si="581">VLOOKUP($A532,$A$5:$K$133,3,FALSE)</f>
        <v>MidWaste</v>
      </c>
      <c r="D532" s="51" t="str">
        <f t="shared" ref="D532:D537" si="582">VLOOKUP($A532,$A$5:$K$133,4,FALSE)</f>
        <v>R</v>
      </c>
      <c r="E532" s="10" t="str">
        <f t="shared" ref="E532:E537" si="583">VLOOKUP($A532,$A$5:$AX$132,5,FALSE)</f>
        <v>MNCJO</v>
      </c>
      <c r="F532" s="10">
        <f t="shared" ref="F532:F537" si="584">VLOOKUP($A532,$A$5:$AX$132,6,FALSE)</f>
        <v>13141</v>
      </c>
      <c r="G532" s="10">
        <f t="shared" ref="G532:G537" si="585">VLOOKUP($A532,$A$5:$AX$132,7,FALSE)</f>
        <v>6000</v>
      </c>
      <c r="H532" s="10">
        <f t="shared" ref="H532:H537" si="586">VLOOKUP($A532,$A$5:$AX$132,8,FALSE)</f>
        <v>2.1901666666666668</v>
      </c>
      <c r="I532" s="10">
        <f t="shared" ref="I532:I537" si="587">VLOOKUP($A532,$A$5:$AX$132,9,FALSE)</f>
        <v>1600.4</v>
      </c>
      <c r="J532" s="10">
        <f t="shared" ref="J532:J537" si="588">VLOOKUP($A532,$A$5:$AX$132,10,FALSE)</f>
        <v>8.1999999999999993</v>
      </c>
      <c r="K532" s="10">
        <f t="shared" ref="K532:K537" si="589">VLOOKUP($A532,$A$5:$AX$132,11,FALSE)</f>
        <v>764</v>
      </c>
      <c r="L532" s="10" t="str">
        <f t="shared" ref="L532:L537" si="590">VLOOKUP($A532,$A$4:$AX$132,12,FALSE)</f>
        <v>Y</v>
      </c>
      <c r="M532" s="10">
        <f t="shared" ref="M532:M537" si="591">VLOOKUP($A532,$A$4:$AX$132,13,FALSE)</f>
        <v>4343</v>
      </c>
      <c r="N532" s="10">
        <f t="shared" ref="N532:N537" si="592">VLOOKUP($A532,$A$4:$AX$132,14,FALSE)</f>
        <v>4343</v>
      </c>
      <c r="O532" s="10">
        <f t="shared" ref="O532:O537" si="593">VLOOKUP($A532,$A$4:$AX$132,15,FALSE)</f>
        <v>0</v>
      </c>
      <c r="P532" s="10">
        <f t="shared" ref="P532:P537" si="594">VLOOKUP($A532,$A$4:$AX$132,16,FALSE)</f>
        <v>4343</v>
      </c>
      <c r="Q532" s="10">
        <f t="shared" ref="Q532:Q537" si="595">VLOOKUP($A532,$A$4:$AX$132,17,FALSE)</f>
        <v>6000</v>
      </c>
      <c r="R532" s="10" t="str">
        <f t="shared" ref="R532:R537" si="596">VLOOKUP($A532,$A$4:$AX$132,18,FALSE)</f>
        <v>No</v>
      </c>
      <c r="S532" s="10" t="str">
        <f t="shared" ref="S532:S537" si="597">VLOOKUP($A532,$A$4:$AX$132,19,FALSE)</f>
        <v xml:space="preserve">Dorrigo WMC </v>
      </c>
      <c r="T532" s="10" t="str">
        <f t="shared" ref="T532:T537" si="598">VLOOKUP($A532,$A$4:$AX$132,20,FALSE)</f>
        <v>Raleigh WMC</v>
      </c>
      <c r="U532" s="10" t="str">
        <f t="shared" ref="U532:U537" si="599">VLOOKUP($A532,$A$4:$AX$132,21,FALSE)</f>
        <v xml:space="preserve">Bellingen Transfer station </v>
      </c>
      <c r="V532" s="10">
        <f t="shared" ref="V532:V537" si="600">VLOOKUP($A532,$A$4:$AX$132,22,FALSE)</f>
        <v>0</v>
      </c>
      <c r="W532" s="10">
        <f t="shared" ref="W532:W537" si="601">VLOOKUP($A532,$A$4:$AX$132,23,FALSE)</f>
        <v>0</v>
      </c>
      <c r="X532" s="10">
        <f t="shared" ref="X532:X537" si="602">VLOOKUP($A532,$A$4:$AX$132,24,FALSE)</f>
        <v>0</v>
      </c>
      <c r="Y532" s="10">
        <f t="shared" ref="Y532:Y537" si="603">VLOOKUP($A532,$A$4:$AX$132,25,FALSE)</f>
        <v>0</v>
      </c>
      <c r="Z532" s="10">
        <f t="shared" ref="Z532:Z537" si="604">VLOOKUP($A532,$A$4:$AX$132,26,FALSE)</f>
        <v>0</v>
      </c>
      <c r="AA532" s="10">
        <f t="shared" ref="AA532:AA537" si="605">VLOOKUP($A532,$A$4:$AX$132,27,FALSE)</f>
        <v>0</v>
      </c>
      <c r="AB532" s="10">
        <f t="shared" ref="AB532:AB537" si="606">VLOOKUP($A532,$A$4:$AX$132,28,FALSE)</f>
        <v>0</v>
      </c>
      <c r="AC532" s="10">
        <f t="shared" ref="AC532:AC537" si="607">VLOOKUP($A532,$A$4:$AX$132,29,FALSE)</f>
        <v>0</v>
      </c>
      <c r="AD532" s="10">
        <f t="shared" ref="AD532:AD537" si="608">VLOOKUP($A532,$A$4:$AX$132,30,FALSE)</f>
        <v>0</v>
      </c>
      <c r="AE532" s="10">
        <f t="shared" ref="AE532:AE537" si="609">VLOOKUP($A532,$A$4:$AX$132,31,FALSE)</f>
        <v>0</v>
      </c>
      <c r="AF532" s="10">
        <f t="shared" ref="AF532:AF537" si="610">VLOOKUP($A532,$A$4:$AX$132,32,FALSE)</f>
        <v>0</v>
      </c>
      <c r="AG532" s="10">
        <f t="shared" ref="AG532:AG537" si="611">VLOOKUP($A532,$A$4:$AX$132,33,FALSE)</f>
        <v>0</v>
      </c>
      <c r="AH532" s="10">
        <f t="shared" ref="AH532:AH537" si="612">VLOOKUP($A532,$A$4:$AX$132,34,FALSE)</f>
        <v>0</v>
      </c>
      <c r="AI532" s="10">
        <f t="shared" ref="AI532:AI537" si="613">VLOOKUP($A532,$A$4:$AX$132,35,FALSE)</f>
        <v>0</v>
      </c>
      <c r="AJ532" s="10">
        <f t="shared" ref="AJ532:AJ537" si="614">VLOOKUP($A532,$A$4:$AX$132,36,FALSE)</f>
        <v>0</v>
      </c>
      <c r="AK532" s="10">
        <f t="shared" ref="AK532:AK537" si="615">VLOOKUP($A532,$A$4:$AX$132,37,FALSE)</f>
        <v>0</v>
      </c>
      <c r="AL532" s="10">
        <f t="shared" ref="AL532:AL537" si="616">VLOOKUP($A532,$A$4:$AX$132,38,FALSE)</f>
        <v>0</v>
      </c>
      <c r="AM532" s="10">
        <f t="shared" ref="AM532:AM537" si="617">VLOOKUP($A532,$A$4:$AX$132,39,FALSE)</f>
        <v>0</v>
      </c>
      <c r="AN532" s="46">
        <f t="shared" ref="AN532:AN537" si="618">VLOOKUP($A532,$A$4:$AX$132,40,FALSE)</f>
        <v>0</v>
      </c>
      <c r="AO532" s="10">
        <f t="shared" ref="AO532:AO537" si="619">VLOOKUP($A532,$A$4:$AX$132,41,FALSE)</f>
        <v>0</v>
      </c>
      <c r="AP532" s="10">
        <f t="shared" ref="AP532:AP537" si="620">VLOOKUP($A532,$A$4:$AX$132,42,FALSE)</f>
        <v>0</v>
      </c>
      <c r="AQ532" s="10">
        <f t="shared" ref="AQ532:AQ537" si="621">VLOOKUP($A532,$A$4:$AX$132,43,FALSE)</f>
        <v>0</v>
      </c>
      <c r="AR532" s="10">
        <f t="shared" ref="AR532:AR537" si="622">VLOOKUP($A532,$A$4:$AX$132,44,FALSE)</f>
        <v>0</v>
      </c>
      <c r="AS532" s="10">
        <f t="shared" ref="AS532:AS537" si="623">VLOOKUP($A532,$A$4:$AX$132,45,FALSE)</f>
        <v>0</v>
      </c>
      <c r="AT532" s="10">
        <f t="shared" ref="AT532:AT537" si="624">VLOOKUP($A532,$A$4:$AX$132,46,FALSE)</f>
        <v>0</v>
      </c>
      <c r="AU532" s="10">
        <f t="shared" ref="AU532:AU537" si="625">VLOOKUP($A532,$A$4:$AX$132,47,FALSE)</f>
        <v>0</v>
      </c>
      <c r="AV532" s="10">
        <f t="shared" ref="AV532:AV537" si="626">VLOOKUP($A532,$A$4:$AX$132,48,FALSE)</f>
        <v>0</v>
      </c>
      <c r="AW532" s="10">
        <f t="shared" ref="AW532:AW537" si="627">VLOOKUP($A532,$A$4:$AX$132,49,FALSE)</f>
        <v>0</v>
      </c>
      <c r="AX532" s="10">
        <f t="shared" ref="AX532:AX537" si="628">VLOOKUP($A532,$A$4:$AX$132,50,FALSE)</f>
        <v>0</v>
      </c>
    </row>
    <row r="533" spans="1:50" x14ac:dyDescent="0.2">
      <c r="A533" s="8">
        <v>11800</v>
      </c>
      <c r="B533" s="89" t="str">
        <f t="shared" si="580"/>
        <v>Coffs Harbour</v>
      </c>
      <c r="C533" s="9" t="str">
        <f t="shared" si="581"/>
        <v>MidWaste</v>
      </c>
      <c r="D533" s="51" t="str">
        <f t="shared" si="582"/>
        <v>R</v>
      </c>
      <c r="E533" s="10">
        <f t="shared" si="583"/>
        <v>0</v>
      </c>
      <c r="F533" s="10">
        <f t="shared" si="584"/>
        <v>77648</v>
      </c>
      <c r="G533" s="10">
        <f t="shared" si="585"/>
        <v>34645</v>
      </c>
      <c r="H533" s="10">
        <f t="shared" si="586"/>
        <v>2.2412469331793909</v>
      </c>
      <c r="I533" s="10">
        <f t="shared" si="587"/>
        <v>1173.7</v>
      </c>
      <c r="J533" s="10">
        <f t="shared" si="588"/>
        <v>66.2</v>
      </c>
      <c r="K533" s="10">
        <f t="shared" si="589"/>
        <v>695</v>
      </c>
      <c r="L533" s="10" t="str">
        <f t="shared" si="590"/>
        <v>Y</v>
      </c>
      <c r="M533" s="10">
        <f t="shared" si="591"/>
        <v>31040</v>
      </c>
      <c r="N533" s="10">
        <f t="shared" si="592"/>
        <v>28759</v>
      </c>
      <c r="O533" s="10">
        <f t="shared" si="593"/>
        <v>0</v>
      </c>
      <c r="P533" s="10">
        <f t="shared" si="594"/>
        <v>31030</v>
      </c>
      <c r="Q533" s="10">
        <f t="shared" si="595"/>
        <v>34645</v>
      </c>
      <c r="R533" s="10" t="str">
        <f t="shared" si="596"/>
        <v>Yes</v>
      </c>
      <c r="S533" s="10" t="str">
        <f t="shared" si="597"/>
        <v>Englands Road Waste Management Facility</v>
      </c>
      <c r="T533" s="10" t="str">
        <f t="shared" si="598"/>
        <v>Lowanna Transfer Station</v>
      </c>
      <c r="U533" s="10" t="str">
        <f t="shared" si="599"/>
        <v>Coramba Transfer Station</v>
      </c>
      <c r="V533" s="10" t="str">
        <f t="shared" si="600"/>
        <v>Woolgoolga Transfer Station</v>
      </c>
      <c r="W533" s="10">
        <f t="shared" si="601"/>
        <v>0</v>
      </c>
      <c r="X533" s="10">
        <f t="shared" si="602"/>
        <v>0</v>
      </c>
      <c r="Y533" s="10">
        <f t="shared" si="603"/>
        <v>0</v>
      </c>
      <c r="Z533" s="10">
        <f t="shared" si="604"/>
        <v>0</v>
      </c>
      <c r="AA533" s="10">
        <f t="shared" si="605"/>
        <v>0</v>
      </c>
      <c r="AB533" s="10">
        <f t="shared" si="606"/>
        <v>0</v>
      </c>
      <c r="AC533" s="10">
        <f t="shared" si="607"/>
        <v>0</v>
      </c>
      <c r="AD533" s="10">
        <f t="shared" si="608"/>
        <v>0</v>
      </c>
      <c r="AE533" s="10">
        <f t="shared" si="609"/>
        <v>0</v>
      </c>
      <c r="AF533" s="10">
        <f t="shared" si="610"/>
        <v>0</v>
      </c>
      <c r="AG533" s="10">
        <f t="shared" si="611"/>
        <v>0</v>
      </c>
      <c r="AH533" s="10">
        <f t="shared" si="612"/>
        <v>0</v>
      </c>
      <c r="AI533" s="10">
        <f t="shared" si="613"/>
        <v>0</v>
      </c>
      <c r="AJ533" s="10">
        <f t="shared" si="614"/>
        <v>0</v>
      </c>
      <c r="AK533" s="10">
        <f t="shared" si="615"/>
        <v>0</v>
      </c>
      <c r="AL533" s="10">
        <f t="shared" si="616"/>
        <v>0</v>
      </c>
      <c r="AM533" s="10">
        <f t="shared" si="617"/>
        <v>0</v>
      </c>
      <c r="AN533" s="46">
        <f t="shared" si="618"/>
        <v>0</v>
      </c>
      <c r="AO533" s="10">
        <f t="shared" si="619"/>
        <v>0</v>
      </c>
      <c r="AP533" s="10">
        <f t="shared" si="620"/>
        <v>0</v>
      </c>
      <c r="AQ533" s="10">
        <f t="shared" si="621"/>
        <v>0</v>
      </c>
      <c r="AR533" s="10">
        <f t="shared" si="622"/>
        <v>0</v>
      </c>
      <c r="AS533" s="10">
        <f t="shared" si="623"/>
        <v>0</v>
      </c>
      <c r="AT533" s="10">
        <f t="shared" si="624"/>
        <v>0</v>
      </c>
      <c r="AU533" s="10">
        <f t="shared" si="625"/>
        <v>0</v>
      </c>
      <c r="AV533" s="10">
        <f t="shared" si="626"/>
        <v>0</v>
      </c>
      <c r="AW533" s="10">
        <f t="shared" si="627"/>
        <v>0</v>
      </c>
      <c r="AX533" s="10">
        <f t="shared" si="628"/>
        <v>0</v>
      </c>
    </row>
    <row r="534" spans="1:50" x14ac:dyDescent="0.2">
      <c r="A534" s="8">
        <v>14350</v>
      </c>
      <c r="B534" s="89" t="str">
        <f t="shared" si="580"/>
        <v>Kempsey</v>
      </c>
      <c r="C534" s="9" t="str">
        <f t="shared" si="581"/>
        <v>MidWaste</v>
      </c>
      <c r="D534" s="51" t="str">
        <f t="shared" si="582"/>
        <v>R</v>
      </c>
      <c r="E534" s="10" t="str">
        <f t="shared" si="583"/>
        <v>MNCJO</v>
      </c>
      <c r="F534" s="10">
        <f t="shared" si="584"/>
        <v>29921</v>
      </c>
      <c r="G534" s="10">
        <f t="shared" si="585"/>
        <v>15699</v>
      </c>
      <c r="H534" s="10">
        <f t="shared" si="586"/>
        <v>1.9059175743677941</v>
      </c>
      <c r="I534" s="10">
        <f t="shared" si="587"/>
        <v>3375.7</v>
      </c>
      <c r="J534" s="10">
        <f t="shared" si="588"/>
        <v>8.9</v>
      </c>
      <c r="K534" s="10">
        <f t="shared" si="589"/>
        <v>403</v>
      </c>
      <c r="L534" s="10" t="str">
        <f t="shared" si="590"/>
        <v>Y</v>
      </c>
      <c r="M534" s="10">
        <f t="shared" si="591"/>
        <v>11994</v>
      </c>
      <c r="N534" s="10">
        <f t="shared" si="592"/>
        <v>12434</v>
      </c>
      <c r="O534" s="10">
        <f t="shared" si="593"/>
        <v>0</v>
      </c>
      <c r="P534" s="10">
        <f t="shared" si="594"/>
        <v>11541</v>
      </c>
      <c r="Q534" s="10">
        <f t="shared" si="595"/>
        <v>0</v>
      </c>
      <c r="R534" s="10" t="str">
        <f t="shared" si="596"/>
        <v>Yes</v>
      </c>
      <c r="S534" s="10" t="str">
        <f t="shared" si="597"/>
        <v xml:space="preserve">Kempsey Waste Management Center </v>
      </c>
      <c r="T534" s="10" t="str">
        <f t="shared" si="598"/>
        <v xml:space="preserve">South West Rocks Transfer Station </v>
      </c>
      <c r="U534" s="10" t="str">
        <f t="shared" si="599"/>
        <v xml:space="preserve">Stuarts Point Transfer Station </v>
      </c>
      <c r="V534" s="10" t="str">
        <f t="shared" si="600"/>
        <v xml:space="preserve">Bellbrook Transfer Station </v>
      </c>
      <c r="W534" s="10">
        <f t="shared" si="601"/>
        <v>0</v>
      </c>
      <c r="X534" s="10">
        <f t="shared" si="602"/>
        <v>0</v>
      </c>
      <c r="Y534" s="10">
        <f t="shared" si="603"/>
        <v>0</v>
      </c>
      <c r="Z534" s="10">
        <f t="shared" si="604"/>
        <v>0</v>
      </c>
      <c r="AA534" s="10">
        <f t="shared" si="605"/>
        <v>0</v>
      </c>
      <c r="AB534" s="10">
        <f t="shared" si="606"/>
        <v>0</v>
      </c>
      <c r="AC534" s="10">
        <f t="shared" si="607"/>
        <v>0</v>
      </c>
      <c r="AD534" s="10">
        <f t="shared" si="608"/>
        <v>0</v>
      </c>
      <c r="AE534" s="10">
        <f t="shared" si="609"/>
        <v>0</v>
      </c>
      <c r="AF534" s="10">
        <f t="shared" si="610"/>
        <v>0</v>
      </c>
      <c r="AG534" s="10">
        <f t="shared" si="611"/>
        <v>0</v>
      </c>
      <c r="AH534" s="10">
        <f t="shared" si="612"/>
        <v>0</v>
      </c>
      <c r="AI534" s="10">
        <f t="shared" si="613"/>
        <v>0</v>
      </c>
      <c r="AJ534" s="10">
        <f t="shared" si="614"/>
        <v>0</v>
      </c>
      <c r="AK534" s="10">
        <f t="shared" si="615"/>
        <v>0</v>
      </c>
      <c r="AL534" s="10">
        <f t="shared" si="616"/>
        <v>0</v>
      </c>
      <c r="AM534" s="10">
        <f t="shared" si="617"/>
        <v>0</v>
      </c>
      <c r="AN534" s="46">
        <f t="shared" si="618"/>
        <v>0</v>
      </c>
      <c r="AO534" s="10">
        <f t="shared" si="619"/>
        <v>0</v>
      </c>
      <c r="AP534" s="10">
        <f t="shared" si="620"/>
        <v>0</v>
      </c>
      <c r="AQ534" s="10">
        <f t="shared" si="621"/>
        <v>0</v>
      </c>
      <c r="AR534" s="10">
        <f t="shared" si="622"/>
        <v>0</v>
      </c>
      <c r="AS534" s="10">
        <f t="shared" si="623"/>
        <v>0</v>
      </c>
      <c r="AT534" s="10">
        <f t="shared" si="624"/>
        <v>0</v>
      </c>
      <c r="AU534" s="10">
        <f t="shared" si="625"/>
        <v>0</v>
      </c>
      <c r="AV534" s="10">
        <f t="shared" si="626"/>
        <v>0</v>
      </c>
      <c r="AW534" s="10">
        <f t="shared" si="627"/>
        <v>0</v>
      </c>
      <c r="AX534" s="10">
        <f t="shared" si="628"/>
        <v>0</v>
      </c>
    </row>
    <row r="535" spans="1:50" x14ac:dyDescent="0.2">
      <c r="A535" s="8">
        <v>15240</v>
      </c>
      <c r="B535" s="89" t="str">
        <f t="shared" si="580"/>
        <v>Mid-Coast</v>
      </c>
      <c r="C535" s="9" t="str">
        <f t="shared" si="581"/>
        <v>MidWaste</v>
      </c>
      <c r="D535" s="51" t="str">
        <f t="shared" si="582"/>
        <v>R</v>
      </c>
      <c r="E535" s="10" t="str">
        <f t="shared" si="583"/>
        <v>HJO</v>
      </c>
      <c r="F535" s="10">
        <f t="shared" si="584"/>
        <v>94395</v>
      </c>
      <c r="G535" s="10">
        <f t="shared" si="585"/>
        <v>47401</v>
      </c>
      <c r="H535" s="10">
        <f t="shared" si="586"/>
        <v>1.9914136832556275</v>
      </c>
      <c r="I535" s="10">
        <f t="shared" si="587"/>
        <v>10053.9</v>
      </c>
      <c r="J535" s="10">
        <f t="shared" si="588"/>
        <v>9.4</v>
      </c>
      <c r="K535" s="10">
        <f t="shared" si="589"/>
        <v>370</v>
      </c>
      <c r="L535" s="10" t="str">
        <f t="shared" si="590"/>
        <v>Y</v>
      </c>
      <c r="M535" s="10">
        <f t="shared" si="591"/>
        <v>45518</v>
      </c>
      <c r="N535" s="10">
        <f t="shared" si="592"/>
        <v>45143</v>
      </c>
      <c r="O535" s="10">
        <f t="shared" si="593"/>
        <v>37979</v>
      </c>
      <c r="P535" s="10">
        <f t="shared" si="594"/>
        <v>0</v>
      </c>
      <c r="Q535" s="10">
        <f t="shared" si="595"/>
        <v>47401</v>
      </c>
      <c r="R535" s="10" t="str">
        <f t="shared" si="596"/>
        <v>Yes</v>
      </c>
      <c r="S535" s="10" t="str">
        <f t="shared" si="597"/>
        <v>MidCoast Shire</v>
      </c>
      <c r="T535" s="10">
        <f t="shared" si="598"/>
        <v>0</v>
      </c>
      <c r="U535" s="10">
        <f t="shared" si="599"/>
        <v>0</v>
      </c>
      <c r="V535" s="10">
        <f t="shared" si="600"/>
        <v>0</v>
      </c>
      <c r="W535" s="10">
        <f t="shared" si="601"/>
        <v>0</v>
      </c>
      <c r="X535" s="10">
        <f t="shared" si="602"/>
        <v>0</v>
      </c>
      <c r="Y535" s="10">
        <f t="shared" si="603"/>
        <v>0</v>
      </c>
      <c r="Z535" s="10">
        <f t="shared" si="604"/>
        <v>0</v>
      </c>
      <c r="AA535" s="10">
        <f t="shared" si="605"/>
        <v>0</v>
      </c>
      <c r="AB535" s="10">
        <f t="shared" si="606"/>
        <v>0</v>
      </c>
      <c r="AC535" s="10">
        <f t="shared" si="607"/>
        <v>0</v>
      </c>
      <c r="AD535" s="10">
        <f t="shared" si="608"/>
        <v>0</v>
      </c>
      <c r="AE535" s="10">
        <f t="shared" si="609"/>
        <v>0</v>
      </c>
      <c r="AF535" s="10">
        <f t="shared" si="610"/>
        <v>0</v>
      </c>
      <c r="AG535" s="10">
        <f t="shared" si="611"/>
        <v>0</v>
      </c>
      <c r="AH535" s="10">
        <f t="shared" si="612"/>
        <v>0</v>
      </c>
      <c r="AI535" s="10">
        <f t="shared" si="613"/>
        <v>0</v>
      </c>
      <c r="AJ535" s="10">
        <f t="shared" si="614"/>
        <v>0</v>
      </c>
      <c r="AK535" s="10">
        <f t="shared" si="615"/>
        <v>0</v>
      </c>
      <c r="AL535" s="10">
        <f t="shared" si="616"/>
        <v>0</v>
      </c>
      <c r="AM535" s="10">
        <f t="shared" si="617"/>
        <v>0</v>
      </c>
      <c r="AN535" s="46">
        <f t="shared" si="618"/>
        <v>0</v>
      </c>
      <c r="AO535" s="10">
        <f t="shared" si="619"/>
        <v>0</v>
      </c>
      <c r="AP535" s="10">
        <f t="shared" si="620"/>
        <v>0</v>
      </c>
      <c r="AQ535" s="10">
        <f t="shared" si="621"/>
        <v>0</v>
      </c>
      <c r="AR535" s="10">
        <f t="shared" si="622"/>
        <v>0</v>
      </c>
      <c r="AS535" s="10">
        <f t="shared" si="623"/>
        <v>0</v>
      </c>
      <c r="AT535" s="10">
        <f t="shared" si="624"/>
        <v>0</v>
      </c>
      <c r="AU535" s="10">
        <f t="shared" si="625"/>
        <v>0</v>
      </c>
      <c r="AV535" s="10">
        <f t="shared" si="626"/>
        <v>0</v>
      </c>
      <c r="AW535" s="10">
        <f t="shared" si="627"/>
        <v>0</v>
      </c>
      <c r="AX535" s="10">
        <f t="shared" si="628"/>
        <v>0</v>
      </c>
    </row>
    <row r="536" spans="1:50" x14ac:dyDescent="0.2">
      <c r="A536" s="8">
        <v>15700</v>
      </c>
      <c r="B536" s="89" t="str">
        <f t="shared" si="580"/>
        <v>Nambucca</v>
      </c>
      <c r="C536" s="9" t="str">
        <f t="shared" si="581"/>
        <v>MidWaste</v>
      </c>
      <c r="D536" s="51" t="str">
        <f t="shared" si="582"/>
        <v>R</v>
      </c>
      <c r="E536" s="10">
        <f t="shared" si="583"/>
        <v>0</v>
      </c>
      <c r="F536" s="10">
        <f t="shared" si="584"/>
        <v>19861</v>
      </c>
      <c r="G536" s="10">
        <f t="shared" si="585"/>
        <v>10166</v>
      </c>
      <c r="H536" s="10">
        <f t="shared" si="586"/>
        <v>1.9536690930552822</v>
      </c>
      <c r="I536" s="10">
        <f t="shared" si="587"/>
        <v>1491.3</v>
      </c>
      <c r="J536" s="10">
        <f t="shared" si="588"/>
        <v>13.3</v>
      </c>
      <c r="K536" s="10">
        <f t="shared" si="589"/>
        <v>543</v>
      </c>
      <c r="L536" s="10" t="str">
        <f t="shared" si="590"/>
        <v>Y</v>
      </c>
      <c r="M536" s="10">
        <f t="shared" si="591"/>
        <v>6774</v>
      </c>
      <c r="N536" s="10">
        <f t="shared" si="592"/>
        <v>6774</v>
      </c>
      <c r="O536" s="10">
        <f t="shared" si="593"/>
        <v>0</v>
      </c>
      <c r="P536" s="10">
        <f t="shared" si="594"/>
        <v>6774</v>
      </c>
      <c r="Q536" s="10">
        <f t="shared" si="595"/>
        <v>10166</v>
      </c>
      <c r="R536" s="10" t="str">
        <f t="shared" si="596"/>
        <v>Yes</v>
      </c>
      <c r="S536" s="10" t="str">
        <f t="shared" si="597"/>
        <v>Nambucca Waste Facility</v>
      </c>
      <c r="T536" s="10">
        <f t="shared" si="598"/>
        <v>0</v>
      </c>
      <c r="U536" s="10">
        <f t="shared" si="599"/>
        <v>0</v>
      </c>
      <c r="V536" s="10">
        <f t="shared" si="600"/>
        <v>0</v>
      </c>
      <c r="W536" s="10">
        <f t="shared" si="601"/>
        <v>0</v>
      </c>
      <c r="X536" s="10">
        <f t="shared" si="602"/>
        <v>0</v>
      </c>
      <c r="Y536" s="10">
        <f t="shared" si="603"/>
        <v>0</v>
      </c>
      <c r="Z536" s="10">
        <f t="shared" si="604"/>
        <v>0</v>
      </c>
      <c r="AA536" s="10">
        <f t="shared" si="605"/>
        <v>0</v>
      </c>
      <c r="AB536" s="10">
        <f t="shared" si="606"/>
        <v>0</v>
      </c>
      <c r="AC536" s="10">
        <f t="shared" si="607"/>
        <v>0</v>
      </c>
      <c r="AD536" s="10">
        <f t="shared" si="608"/>
        <v>0</v>
      </c>
      <c r="AE536" s="10">
        <f t="shared" si="609"/>
        <v>0</v>
      </c>
      <c r="AF536" s="10">
        <f t="shared" si="610"/>
        <v>0</v>
      </c>
      <c r="AG536" s="10">
        <f t="shared" si="611"/>
        <v>0</v>
      </c>
      <c r="AH536" s="10">
        <f t="shared" si="612"/>
        <v>0</v>
      </c>
      <c r="AI536" s="10">
        <f t="shared" si="613"/>
        <v>0</v>
      </c>
      <c r="AJ536" s="10">
        <f t="shared" si="614"/>
        <v>0</v>
      </c>
      <c r="AK536" s="10">
        <f t="shared" si="615"/>
        <v>0</v>
      </c>
      <c r="AL536" s="10">
        <f t="shared" si="616"/>
        <v>0</v>
      </c>
      <c r="AM536" s="10">
        <f t="shared" si="617"/>
        <v>0</v>
      </c>
      <c r="AN536" s="46">
        <f t="shared" si="618"/>
        <v>0</v>
      </c>
      <c r="AO536" s="10">
        <f t="shared" si="619"/>
        <v>0</v>
      </c>
      <c r="AP536" s="10">
        <f t="shared" si="620"/>
        <v>0</v>
      </c>
      <c r="AQ536" s="10">
        <f t="shared" si="621"/>
        <v>0</v>
      </c>
      <c r="AR536" s="10">
        <f t="shared" si="622"/>
        <v>0</v>
      </c>
      <c r="AS536" s="10">
        <f t="shared" si="623"/>
        <v>0</v>
      </c>
      <c r="AT536" s="10">
        <f t="shared" si="624"/>
        <v>0</v>
      </c>
      <c r="AU536" s="10">
        <f t="shared" si="625"/>
        <v>0</v>
      </c>
      <c r="AV536" s="10">
        <f t="shared" si="626"/>
        <v>0</v>
      </c>
      <c r="AW536" s="10">
        <f t="shared" si="627"/>
        <v>0</v>
      </c>
      <c r="AX536" s="10">
        <f t="shared" si="628"/>
        <v>0</v>
      </c>
    </row>
    <row r="537" spans="1:50" ht="13.5" thickBot="1" x14ac:dyDescent="0.25">
      <c r="A537" s="8">
        <v>16380</v>
      </c>
      <c r="B537" s="89" t="str">
        <f t="shared" si="580"/>
        <v>Port Macquarie-Hastings</v>
      </c>
      <c r="C537" s="9" t="str">
        <f t="shared" si="581"/>
        <v>MidWaste</v>
      </c>
      <c r="D537" s="51" t="str">
        <f t="shared" si="582"/>
        <v>R</v>
      </c>
      <c r="E537" s="10" t="str">
        <f t="shared" si="583"/>
        <v>MNCJO</v>
      </c>
      <c r="F537" s="10">
        <f t="shared" si="584"/>
        <v>85952</v>
      </c>
      <c r="G537" s="10">
        <f t="shared" si="585"/>
        <v>38101</v>
      </c>
      <c r="H537" s="10">
        <f t="shared" si="586"/>
        <v>2.2558987953072096</v>
      </c>
      <c r="I537" s="10">
        <f t="shared" si="587"/>
        <v>3682.4</v>
      </c>
      <c r="J537" s="10">
        <f t="shared" si="588"/>
        <v>23.3</v>
      </c>
      <c r="K537" s="10">
        <f t="shared" si="589"/>
        <v>488</v>
      </c>
      <c r="L537" s="10" t="str">
        <f t="shared" si="590"/>
        <v>Y</v>
      </c>
      <c r="M537" s="10">
        <f t="shared" si="591"/>
        <v>30086</v>
      </c>
      <c r="N537" s="10">
        <f t="shared" si="592"/>
        <v>32352</v>
      </c>
      <c r="O537" s="10">
        <f t="shared" si="593"/>
        <v>0</v>
      </c>
      <c r="P537" s="10">
        <f t="shared" si="594"/>
        <v>29166</v>
      </c>
      <c r="Q537" s="10">
        <f t="shared" si="595"/>
        <v>38101</v>
      </c>
      <c r="R537" s="10" t="str">
        <f t="shared" si="596"/>
        <v>Yes</v>
      </c>
      <c r="S537" s="10" t="str">
        <f t="shared" si="597"/>
        <v>Cairncross Waste Facility Transfer Area</v>
      </c>
      <c r="T537" s="10" t="str">
        <f t="shared" si="598"/>
        <v>Wauchope Transfer Station</v>
      </c>
      <c r="U537" s="10" t="str">
        <f t="shared" si="599"/>
        <v>Kew Transfer Station</v>
      </c>
      <c r="V537" s="10" t="str">
        <f t="shared" si="600"/>
        <v>Port Macquarie Transfer Station</v>
      </c>
      <c r="W537" s="10" t="str">
        <f t="shared" si="601"/>
        <v>Comboyne Transfer Station</v>
      </c>
      <c r="X537" s="10">
        <f t="shared" si="602"/>
        <v>0</v>
      </c>
      <c r="Y537" s="10">
        <f t="shared" si="603"/>
        <v>0</v>
      </c>
      <c r="Z537" s="10">
        <f t="shared" si="604"/>
        <v>0</v>
      </c>
      <c r="AA537" s="10">
        <f t="shared" si="605"/>
        <v>0</v>
      </c>
      <c r="AB537" s="10">
        <f t="shared" si="606"/>
        <v>0</v>
      </c>
      <c r="AC537" s="10">
        <f t="shared" si="607"/>
        <v>0</v>
      </c>
      <c r="AD537" s="10">
        <f t="shared" si="608"/>
        <v>0</v>
      </c>
      <c r="AE537" s="10">
        <f t="shared" si="609"/>
        <v>0</v>
      </c>
      <c r="AF537" s="10">
        <f t="shared" si="610"/>
        <v>0</v>
      </c>
      <c r="AG537" s="10">
        <f t="shared" si="611"/>
        <v>0</v>
      </c>
      <c r="AH537" s="10">
        <f t="shared" si="612"/>
        <v>0</v>
      </c>
      <c r="AI537" s="10">
        <f t="shared" si="613"/>
        <v>0</v>
      </c>
      <c r="AJ537" s="10">
        <f t="shared" si="614"/>
        <v>0</v>
      </c>
      <c r="AK537" s="10">
        <f t="shared" si="615"/>
        <v>0</v>
      </c>
      <c r="AL537" s="10">
        <f t="shared" si="616"/>
        <v>0</v>
      </c>
      <c r="AM537" s="10">
        <f t="shared" si="617"/>
        <v>0</v>
      </c>
      <c r="AN537" s="46">
        <f t="shared" si="618"/>
        <v>0</v>
      </c>
      <c r="AO537" s="10">
        <f t="shared" si="619"/>
        <v>0</v>
      </c>
      <c r="AP537" s="10">
        <f t="shared" si="620"/>
        <v>0</v>
      </c>
      <c r="AQ537" s="10">
        <f t="shared" si="621"/>
        <v>0</v>
      </c>
      <c r="AR537" s="10">
        <f t="shared" si="622"/>
        <v>0</v>
      </c>
      <c r="AS537" s="10">
        <f t="shared" si="623"/>
        <v>0</v>
      </c>
      <c r="AT537" s="10">
        <f t="shared" si="624"/>
        <v>0</v>
      </c>
      <c r="AU537" s="10">
        <f t="shared" si="625"/>
        <v>0</v>
      </c>
      <c r="AV537" s="10">
        <f t="shared" si="626"/>
        <v>0</v>
      </c>
      <c r="AW537" s="10">
        <f t="shared" si="627"/>
        <v>0</v>
      </c>
      <c r="AX537" s="10">
        <f t="shared" si="628"/>
        <v>0</v>
      </c>
    </row>
    <row r="538" spans="1:50" ht="13.5" thickTop="1" x14ac:dyDescent="0.2">
      <c r="A538" s="11"/>
      <c r="B538" s="11"/>
      <c r="C538" s="11" t="s">
        <v>30</v>
      </c>
      <c r="D538" s="11"/>
      <c r="E538" s="12"/>
      <c r="F538" s="13">
        <f t="shared" ref="F538:AX538" si="629">COUNTIF(F532:F537,"&gt;0")</f>
        <v>6</v>
      </c>
      <c r="G538" s="13">
        <f t="shared" si="629"/>
        <v>6</v>
      </c>
      <c r="H538" s="13">
        <f t="shared" si="629"/>
        <v>6</v>
      </c>
      <c r="I538" s="13">
        <f t="shared" si="629"/>
        <v>6</v>
      </c>
      <c r="J538" s="13">
        <f t="shared" si="629"/>
        <v>6</v>
      </c>
      <c r="K538" s="13">
        <f t="shared" si="629"/>
        <v>6</v>
      </c>
      <c r="L538" s="13">
        <f t="shared" si="629"/>
        <v>0</v>
      </c>
      <c r="M538" s="13">
        <f t="shared" si="629"/>
        <v>6</v>
      </c>
      <c r="N538" s="13">
        <f t="shared" si="629"/>
        <v>6</v>
      </c>
      <c r="O538" s="13">
        <f t="shared" si="629"/>
        <v>1</v>
      </c>
      <c r="P538" s="13">
        <f t="shared" si="629"/>
        <v>5</v>
      </c>
      <c r="Q538" s="13">
        <f t="shared" si="629"/>
        <v>5</v>
      </c>
      <c r="R538" s="13">
        <f t="shared" si="629"/>
        <v>0</v>
      </c>
      <c r="S538" s="13">
        <f t="shared" si="629"/>
        <v>0</v>
      </c>
      <c r="T538" s="13">
        <f t="shared" si="629"/>
        <v>0</v>
      </c>
      <c r="U538" s="13">
        <f t="shared" si="629"/>
        <v>0</v>
      </c>
      <c r="V538" s="13">
        <f t="shared" si="629"/>
        <v>0</v>
      </c>
      <c r="W538" s="13">
        <f t="shared" si="629"/>
        <v>0</v>
      </c>
      <c r="X538" s="13">
        <f t="shared" si="629"/>
        <v>0</v>
      </c>
      <c r="Y538" s="13">
        <f t="shared" si="629"/>
        <v>0</v>
      </c>
      <c r="Z538" s="13">
        <f t="shared" si="629"/>
        <v>0</v>
      </c>
      <c r="AA538" s="13">
        <f t="shared" si="629"/>
        <v>0</v>
      </c>
      <c r="AB538" s="13">
        <f t="shared" si="629"/>
        <v>0</v>
      </c>
      <c r="AC538" s="13">
        <f t="shared" si="629"/>
        <v>0</v>
      </c>
      <c r="AD538" s="13">
        <f t="shared" si="629"/>
        <v>0</v>
      </c>
      <c r="AE538" s="13">
        <f t="shared" si="629"/>
        <v>0</v>
      </c>
      <c r="AF538" s="13">
        <f t="shared" si="629"/>
        <v>0</v>
      </c>
      <c r="AG538" s="13">
        <f t="shared" si="629"/>
        <v>0</v>
      </c>
      <c r="AH538" s="13">
        <f t="shared" si="629"/>
        <v>0</v>
      </c>
      <c r="AI538" s="13">
        <f t="shared" si="629"/>
        <v>0</v>
      </c>
      <c r="AJ538" s="13">
        <f t="shared" si="629"/>
        <v>0</v>
      </c>
      <c r="AK538" s="13">
        <f t="shared" si="629"/>
        <v>0</v>
      </c>
      <c r="AL538" s="13">
        <f t="shared" si="629"/>
        <v>0</v>
      </c>
      <c r="AM538" s="44">
        <f t="shared" si="629"/>
        <v>0</v>
      </c>
      <c r="AN538" s="13">
        <f t="shared" si="629"/>
        <v>0</v>
      </c>
      <c r="AO538" s="13">
        <f t="shared" si="629"/>
        <v>0</v>
      </c>
      <c r="AP538" s="13">
        <f t="shared" si="629"/>
        <v>0</v>
      </c>
      <c r="AQ538" s="13">
        <f t="shared" si="629"/>
        <v>0</v>
      </c>
      <c r="AR538" s="13">
        <f t="shared" si="629"/>
        <v>0</v>
      </c>
      <c r="AS538" s="13">
        <f t="shared" si="629"/>
        <v>0</v>
      </c>
      <c r="AT538" s="13">
        <f t="shared" si="629"/>
        <v>0</v>
      </c>
      <c r="AU538" s="13">
        <f t="shared" si="629"/>
        <v>0</v>
      </c>
      <c r="AV538" s="13">
        <f t="shared" si="629"/>
        <v>0</v>
      </c>
      <c r="AW538" s="13">
        <f t="shared" si="629"/>
        <v>0</v>
      </c>
      <c r="AX538" s="13">
        <f t="shared" si="629"/>
        <v>0</v>
      </c>
    </row>
    <row r="539" spans="1:50" x14ac:dyDescent="0.2">
      <c r="A539" s="8"/>
      <c r="B539" s="8"/>
      <c r="C539" s="8" t="s">
        <v>31</v>
      </c>
      <c r="D539" s="8"/>
      <c r="E539" s="80"/>
      <c r="F539" s="15">
        <f t="shared" ref="F539:AX539" si="630">SUM(F532:F537)</f>
        <v>320918</v>
      </c>
      <c r="G539" s="15">
        <f t="shared" si="630"/>
        <v>152012</v>
      </c>
      <c r="H539" s="110">
        <f>F539/G539</f>
        <v>2.1111359629502933</v>
      </c>
      <c r="I539" s="15">
        <f t="shared" si="630"/>
        <v>21377.4</v>
      </c>
      <c r="J539" s="15">
        <f t="shared" si="630"/>
        <v>129.30000000000001</v>
      </c>
      <c r="K539" s="15">
        <f t="shared" si="630"/>
        <v>3263</v>
      </c>
      <c r="L539" s="15">
        <f t="shared" si="630"/>
        <v>0</v>
      </c>
      <c r="M539" s="15">
        <f t="shared" si="630"/>
        <v>129755</v>
      </c>
      <c r="N539" s="15">
        <f t="shared" si="630"/>
        <v>129805</v>
      </c>
      <c r="O539" s="15">
        <f t="shared" si="630"/>
        <v>37979</v>
      </c>
      <c r="P539" s="15">
        <f t="shared" si="630"/>
        <v>82854</v>
      </c>
      <c r="Q539" s="15">
        <f t="shared" si="630"/>
        <v>136313</v>
      </c>
      <c r="R539" s="15">
        <f t="shared" si="630"/>
        <v>0</v>
      </c>
      <c r="S539" s="15">
        <f t="shared" si="630"/>
        <v>0</v>
      </c>
      <c r="T539" s="15">
        <f t="shared" si="630"/>
        <v>0</v>
      </c>
      <c r="U539" s="15">
        <f t="shared" si="630"/>
        <v>0</v>
      </c>
      <c r="V539" s="15">
        <f t="shared" si="630"/>
        <v>0</v>
      </c>
      <c r="W539" s="15">
        <f t="shared" si="630"/>
        <v>0</v>
      </c>
      <c r="X539" s="15">
        <f t="shared" si="630"/>
        <v>0</v>
      </c>
      <c r="Y539" s="15">
        <f t="shared" si="630"/>
        <v>0</v>
      </c>
      <c r="Z539" s="15">
        <f t="shared" si="630"/>
        <v>0</v>
      </c>
      <c r="AA539" s="15">
        <f t="shared" si="630"/>
        <v>0</v>
      </c>
      <c r="AB539" s="15">
        <f t="shared" si="630"/>
        <v>0</v>
      </c>
      <c r="AC539" s="15">
        <f t="shared" si="630"/>
        <v>0</v>
      </c>
      <c r="AD539" s="15">
        <f t="shared" si="630"/>
        <v>0</v>
      </c>
      <c r="AE539" s="15">
        <f t="shared" si="630"/>
        <v>0</v>
      </c>
      <c r="AF539" s="15">
        <f t="shared" si="630"/>
        <v>0</v>
      </c>
      <c r="AG539" s="15">
        <f t="shared" si="630"/>
        <v>0</v>
      </c>
      <c r="AH539" s="15">
        <f t="shared" si="630"/>
        <v>0</v>
      </c>
      <c r="AI539" s="15">
        <f t="shared" si="630"/>
        <v>0</v>
      </c>
      <c r="AJ539" s="15">
        <f t="shared" si="630"/>
        <v>0</v>
      </c>
      <c r="AK539" s="15">
        <f t="shared" si="630"/>
        <v>0</v>
      </c>
      <c r="AL539" s="15">
        <f t="shared" si="630"/>
        <v>0</v>
      </c>
      <c r="AM539" s="45">
        <f t="shared" si="630"/>
        <v>0</v>
      </c>
      <c r="AN539" s="15">
        <f t="shared" si="630"/>
        <v>0</v>
      </c>
      <c r="AO539" s="15">
        <f t="shared" si="630"/>
        <v>0</v>
      </c>
      <c r="AP539" s="15">
        <f t="shared" si="630"/>
        <v>0</v>
      </c>
      <c r="AQ539" s="15">
        <f t="shared" si="630"/>
        <v>0</v>
      </c>
      <c r="AR539" s="15">
        <f t="shared" si="630"/>
        <v>0</v>
      </c>
      <c r="AS539" s="15">
        <f t="shared" si="630"/>
        <v>0</v>
      </c>
      <c r="AT539" s="15">
        <f t="shared" si="630"/>
        <v>0</v>
      </c>
      <c r="AU539" s="15">
        <f t="shared" si="630"/>
        <v>0</v>
      </c>
      <c r="AV539" s="15">
        <f t="shared" si="630"/>
        <v>0</v>
      </c>
      <c r="AW539" s="15">
        <f t="shared" si="630"/>
        <v>0</v>
      </c>
      <c r="AX539" s="15">
        <f t="shared" si="630"/>
        <v>0</v>
      </c>
    </row>
    <row r="540" spans="1:50" x14ac:dyDescent="0.2">
      <c r="A540" s="8"/>
      <c r="B540" s="8"/>
      <c r="C540" s="8" t="s">
        <v>32</v>
      </c>
      <c r="D540" s="8"/>
      <c r="E540" s="80"/>
      <c r="F540" s="10">
        <f t="shared" ref="F540:AX540" si="631">MIN(F532:F537)</f>
        <v>13141</v>
      </c>
      <c r="G540" s="10">
        <f t="shared" si="631"/>
        <v>6000</v>
      </c>
      <c r="H540" s="10">
        <f t="shared" si="631"/>
        <v>1.9059175743677941</v>
      </c>
      <c r="I540" s="10">
        <f t="shared" si="631"/>
        <v>1173.7</v>
      </c>
      <c r="J540" s="10">
        <f t="shared" si="631"/>
        <v>8.1999999999999993</v>
      </c>
      <c r="K540" s="10">
        <f t="shared" si="631"/>
        <v>370</v>
      </c>
      <c r="L540" s="10">
        <f t="shared" si="631"/>
        <v>0</v>
      </c>
      <c r="M540" s="10">
        <f t="shared" si="631"/>
        <v>4343</v>
      </c>
      <c r="N540" s="10">
        <f t="shared" si="631"/>
        <v>4343</v>
      </c>
      <c r="O540" s="10">
        <f t="shared" si="631"/>
        <v>0</v>
      </c>
      <c r="P540" s="10">
        <f t="shared" si="631"/>
        <v>0</v>
      </c>
      <c r="Q540" s="10">
        <f t="shared" si="631"/>
        <v>0</v>
      </c>
      <c r="R540" s="10">
        <f t="shared" si="631"/>
        <v>0</v>
      </c>
      <c r="S540" s="10">
        <f t="shared" si="631"/>
        <v>0</v>
      </c>
      <c r="T540" s="10">
        <f t="shared" si="631"/>
        <v>0</v>
      </c>
      <c r="U540" s="10">
        <f t="shared" si="631"/>
        <v>0</v>
      </c>
      <c r="V540" s="10">
        <f t="shared" si="631"/>
        <v>0</v>
      </c>
      <c r="W540" s="10">
        <f t="shared" si="631"/>
        <v>0</v>
      </c>
      <c r="X540" s="10">
        <f t="shared" si="631"/>
        <v>0</v>
      </c>
      <c r="Y540" s="10">
        <f t="shared" si="631"/>
        <v>0</v>
      </c>
      <c r="Z540" s="10">
        <f t="shared" si="631"/>
        <v>0</v>
      </c>
      <c r="AA540" s="10">
        <f t="shared" si="631"/>
        <v>0</v>
      </c>
      <c r="AB540" s="10">
        <f t="shared" si="631"/>
        <v>0</v>
      </c>
      <c r="AC540" s="10">
        <f t="shared" si="631"/>
        <v>0</v>
      </c>
      <c r="AD540" s="10">
        <f t="shared" si="631"/>
        <v>0</v>
      </c>
      <c r="AE540" s="10">
        <f t="shared" si="631"/>
        <v>0</v>
      </c>
      <c r="AF540" s="10">
        <f t="shared" si="631"/>
        <v>0</v>
      </c>
      <c r="AG540" s="10">
        <f t="shared" si="631"/>
        <v>0</v>
      </c>
      <c r="AH540" s="10">
        <f t="shared" si="631"/>
        <v>0</v>
      </c>
      <c r="AI540" s="10">
        <f t="shared" si="631"/>
        <v>0</v>
      </c>
      <c r="AJ540" s="10">
        <f t="shared" si="631"/>
        <v>0</v>
      </c>
      <c r="AK540" s="10">
        <f t="shared" si="631"/>
        <v>0</v>
      </c>
      <c r="AL540" s="10">
        <f t="shared" si="631"/>
        <v>0</v>
      </c>
      <c r="AM540" s="46">
        <f t="shared" si="631"/>
        <v>0</v>
      </c>
      <c r="AN540" s="10">
        <f t="shared" si="631"/>
        <v>0</v>
      </c>
      <c r="AO540" s="10">
        <f t="shared" si="631"/>
        <v>0</v>
      </c>
      <c r="AP540" s="10">
        <f t="shared" si="631"/>
        <v>0</v>
      </c>
      <c r="AQ540" s="10">
        <f t="shared" si="631"/>
        <v>0</v>
      </c>
      <c r="AR540" s="10">
        <f t="shared" si="631"/>
        <v>0</v>
      </c>
      <c r="AS540" s="10">
        <f t="shared" si="631"/>
        <v>0</v>
      </c>
      <c r="AT540" s="10">
        <f t="shared" si="631"/>
        <v>0</v>
      </c>
      <c r="AU540" s="10">
        <f t="shared" si="631"/>
        <v>0</v>
      </c>
      <c r="AV540" s="10">
        <f t="shared" si="631"/>
        <v>0</v>
      </c>
      <c r="AW540" s="10">
        <f t="shared" si="631"/>
        <v>0</v>
      </c>
      <c r="AX540" s="10">
        <f t="shared" si="631"/>
        <v>0</v>
      </c>
    </row>
    <row r="541" spans="1:50" x14ac:dyDescent="0.2">
      <c r="A541" s="8"/>
      <c r="B541" s="8"/>
      <c r="C541" s="8" t="s">
        <v>33</v>
      </c>
      <c r="D541" s="8"/>
      <c r="E541" s="80"/>
      <c r="F541" s="10">
        <f t="shared" ref="F541:AX541" si="632">MAX(F532:F537)</f>
        <v>94395</v>
      </c>
      <c r="G541" s="10">
        <f t="shared" si="632"/>
        <v>47401</v>
      </c>
      <c r="H541" s="10">
        <f t="shared" si="632"/>
        <v>2.2558987953072096</v>
      </c>
      <c r="I541" s="10">
        <f t="shared" si="632"/>
        <v>10053.9</v>
      </c>
      <c r="J541" s="10">
        <f t="shared" si="632"/>
        <v>66.2</v>
      </c>
      <c r="K541" s="10">
        <f t="shared" si="632"/>
        <v>764</v>
      </c>
      <c r="L541" s="10">
        <f t="shared" si="632"/>
        <v>0</v>
      </c>
      <c r="M541" s="10">
        <f t="shared" si="632"/>
        <v>45518</v>
      </c>
      <c r="N541" s="10">
        <f t="shared" si="632"/>
        <v>45143</v>
      </c>
      <c r="O541" s="10">
        <f t="shared" si="632"/>
        <v>37979</v>
      </c>
      <c r="P541" s="10">
        <f t="shared" si="632"/>
        <v>31030</v>
      </c>
      <c r="Q541" s="10">
        <f t="shared" si="632"/>
        <v>47401</v>
      </c>
      <c r="R541" s="10">
        <f t="shared" si="632"/>
        <v>0</v>
      </c>
      <c r="S541" s="10">
        <f t="shared" si="632"/>
        <v>0</v>
      </c>
      <c r="T541" s="10">
        <f t="shared" si="632"/>
        <v>0</v>
      </c>
      <c r="U541" s="10">
        <f t="shared" si="632"/>
        <v>0</v>
      </c>
      <c r="V541" s="10">
        <f t="shared" si="632"/>
        <v>0</v>
      </c>
      <c r="W541" s="10">
        <f t="shared" si="632"/>
        <v>0</v>
      </c>
      <c r="X541" s="10">
        <f t="shared" si="632"/>
        <v>0</v>
      </c>
      <c r="Y541" s="10">
        <f t="shared" si="632"/>
        <v>0</v>
      </c>
      <c r="Z541" s="10">
        <f t="shared" si="632"/>
        <v>0</v>
      </c>
      <c r="AA541" s="10">
        <f t="shared" si="632"/>
        <v>0</v>
      </c>
      <c r="AB541" s="10">
        <f t="shared" si="632"/>
        <v>0</v>
      </c>
      <c r="AC541" s="10">
        <f t="shared" si="632"/>
        <v>0</v>
      </c>
      <c r="AD541" s="10">
        <f t="shared" si="632"/>
        <v>0</v>
      </c>
      <c r="AE541" s="10">
        <f t="shared" si="632"/>
        <v>0</v>
      </c>
      <c r="AF541" s="10">
        <f t="shared" si="632"/>
        <v>0</v>
      </c>
      <c r="AG541" s="10">
        <f t="shared" si="632"/>
        <v>0</v>
      </c>
      <c r="AH541" s="10">
        <f t="shared" si="632"/>
        <v>0</v>
      </c>
      <c r="AI541" s="10">
        <f t="shared" si="632"/>
        <v>0</v>
      </c>
      <c r="AJ541" s="10">
        <f t="shared" si="632"/>
        <v>0</v>
      </c>
      <c r="AK541" s="10">
        <f t="shared" si="632"/>
        <v>0</v>
      </c>
      <c r="AL541" s="10">
        <f t="shared" si="632"/>
        <v>0</v>
      </c>
      <c r="AM541" s="46">
        <f t="shared" si="632"/>
        <v>0</v>
      </c>
      <c r="AN541" s="10">
        <f t="shared" si="632"/>
        <v>0</v>
      </c>
      <c r="AO541" s="10">
        <f t="shared" si="632"/>
        <v>0</v>
      </c>
      <c r="AP541" s="10">
        <f t="shared" si="632"/>
        <v>0</v>
      </c>
      <c r="AQ541" s="10">
        <f t="shared" si="632"/>
        <v>0</v>
      </c>
      <c r="AR541" s="10">
        <f t="shared" si="632"/>
        <v>0</v>
      </c>
      <c r="AS541" s="10">
        <f t="shared" si="632"/>
        <v>0</v>
      </c>
      <c r="AT541" s="10">
        <f t="shared" si="632"/>
        <v>0</v>
      </c>
      <c r="AU541" s="10">
        <f t="shared" si="632"/>
        <v>0</v>
      </c>
      <c r="AV541" s="10">
        <f t="shared" si="632"/>
        <v>0</v>
      </c>
      <c r="AW541" s="10">
        <f t="shared" si="632"/>
        <v>0</v>
      </c>
      <c r="AX541" s="10">
        <f t="shared" si="632"/>
        <v>0</v>
      </c>
    </row>
    <row r="542" spans="1:50" x14ac:dyDescent="0.2">
      <c r="A542" s="8"/>
      <c r="B542" s="8"/>
      <c r="C542" s="8" t="s">
        <v>34</v>
      </c>
      <c r="D542" s="8"/>
      <c r="E542" s="80"/>
      <c r="F542" s="10">
        <f t="shared" ref="F542:AX542" si="633">AVERAGE(F532:F537)</f>
        <v>53486.333333333336</v>
      </c>
      <c r="G542" s="10">
        <f t="shared" si="633"/>
        <v>25335.333333333332</v>
      </c>
      <c r="H542" s="10">
        <f t="shared" si="633"/>
        <v>2.089718790971995</v>
      </c>
      <c r="I542" s="10">
        <f t="shared" si="633"/>
        <v>3562.9</v>
      </c>
      <c r="J542" s="10">
        <f t="shared" si="633"/>
        <v>21.55</v>
      </c>
      <c r="K542" s="10">
        <f t="shared" si="633"/>
        <v>543.83333333333337</v>
      </c>
      <c r="L542" s="10" t="e">
        <f t="shared" si="633"/>
        <v>#DIV/0!</v>
      </c>
      <c r="M542" s="10">
        <f t="shared" si="633"/>
        <v>21625.833333333332</v>
      </c>
      <c r="N542" s="10">
        <f t="shared" si="633"/>
        <v>21634.166666666668</v>
      </c>
      <c r="O542" s="10">
        <f t="shared" si="633"/>
        <v>6329.833333333333</v>
      </c>
      <c r="P542" s="10">
        <f t="shared" si="633"/>
        <v>13809</v>
      </c>
      <c r="Q542" s="10">
        <f t="shared" si="633"/>
        <v>22718.833333333332</v>
      </c>
      <c r="R542" s="10" t="e">
        <f t="shared" si="633"/>
        <v>#DIV/0!</v>
      </c>
      <c r="S542" s="10" t="e">
        <f t="shared" si="633"/>
        <v>#DIV/0!</v>
      </c>
      <c r="T542" s="10">
        <f t="shared" si="633"/>
        <v>0</v>
      </c>
      <c r="U542" s="10">
        <f t="shared" si="633"/>
        <v>0</v>
      </c>
      <c r="V542" s="10">
        <f t="shared" si="633"/>
        <v>0</v>
      </c>
      <c r="W542" s="10">
        <f t="shared" si="633"/>
        <v>0</v>
      </c>
      <c r="X542" s="10">
        <f t="shared" si="633"/>
        <v>0</v>
      </c>
      <c r="Y542" s="10">
        <f t="shared" si="633"/>
        <v>0</v>
      </c>
      <c r="Z542" s="10">
        <f t="shared" si="633"/>
        <v>0</v>
      </c>
      <c r="AA542" s="10">
        <f t="shared" si="633"/>
        <v>0</v>
      </c>
      <c r="AB542" s="10">
        <f t="shared" si="633"/>
        <v>0</v>
      </c>
      <c r="AC542" s="10">
        <f t="shared" si="633"/>
        <v>0</v>
      </c>
      <c r="AD542" s="10">
        <f t="shared" si="633"/>
        <v>0</v>
      </c>
      <c r="AE542" s="10">
        <f t="shared" si="633"/>
        <v>0</v>
      </c>
      <c r="AF542" s="10">
        <f t="shared" si="633"/>
        <v>0</v>
      </c>
      <c r="AG542" s="10">
        <f t="shared" si="633"/>
        <v>0</v>
      </c>
      <c r="AH542" s="10">
        <f t="shared" si="633"/>
        <v>0</v>
      </c>
      <c r="AI542" s="10">
        <f t="shared" si="633"/>
        <v>0</v>
      </c>
      <c r="AJ542" s="10">
        <f t="shared" si="633"/>
        <v>0</v>
      </c>
      <c r="AK542" s="10">
        <f t="shared" si="633"/>
        <v>0</v>
      </c>
      <c r="AL542" s="10">
        <f t="shared" si="633"/>
        <v>0</v>
      </c>
      <c r="AM542" s="46">
        <f t="shared" si="633"/>
        <v>0</v>
      </c>
      <c r="AN542" s="10">
        <f t="shared" si="633"/>
        <v>0</v>
      </c>
      <c r="AO542" s="10">
        <f t="shared" si="633"/>
        <v>0</v>
      </c>
      <c r="AP542" s="10">
        <f t="shared" si="633"/>
        <v>0</v>
      </c>
      <c r="AQ542" s="10">
        <f t="shared" si="633"/>
        <v>0</v>
      </c>
      <c r="AR542" s="10">
        <f t="shared" si="633"/>
        <v>0</v>
      </c>
      <c r="AS542" s="10">
        <f t="shared" si="633"/>
        <v>0</v>
      </c>
      <c r="AT542" s="10">
        <f t="shared" si="633"/>
        <v>0</v>
      </c>
      <c r="AU542" s="10">
        <f t="shared" si="633"/>
        <v>0</v>
      </c>
      <c r="AV542" s="10">
        <f t="shared" si="633"/>
        <v>0</v>
      </c>
      <c r="AW542" s="10">
        <f t="shared" si="633"/>
        <v>0</v>
      </c>
      <c r="AX542" s="10">
        <f t="shared" si="633"/>
        <v>0</v>
      </c>
    </row>
    <row r="543" spans="1:50" ht="13.5" thickBot="1" x14ac:dyDescent="0.25">
      <c r="A543" s="16"/>
      <c r="B543" s="16"/>
      <c r="C543" s="16" t="s">
        <v>35</v>
      </c>
      <c r="D543" s="16"/>
      <c r="E543" s="80"/>
      <c r="F543" s="18">
        <f t="shared" ref="F543:AX543" si="634">MEDIAN(F532:F537)</f>
        <v>53784.5</v>
      </c>
      <c r="G543" s="18">
        <f t="shared" si="634"/>
        <v>25172</v>
      </c>
      <c r="H543" s="18">
        <f t="shared" si="634"/>
        <v>2.0907901749611471</v>
      </c>
      <c r="I543" s="18">
        <f t="shared" si="634"/>
        <v>2488.0500000000002</v>
      </c>
      <c r="J543" s="18">
        <f t="shared" si="634"/>
        <v>11.350000000000001</v>
      </c>
      <c r="K543" s="18">
        <f t="shared" si="634"/>
        <v>515.5</v>
      </c>
      <c r="L543" s="18" t="e">
        <f t="shared" si="634"/>
        <v>#NUM!</v>
      </c>
      <c r="M543" s="18">
        <f t="shared" si="634"/>
        <v>21040</v>
      </c>
      <c r="N543" s="18">
        <f t="shared" si="634"/>
        <v>20596.5</v>
      </c>
      <c r="O543" s="18">
        <f t="shared" si="634"/>
        <v>0</v>
      </c>
      <c r="P543" s="18">
        <f t="shared" si="634"/>
        <v>9157.5</v>
      </c>
      <c r="Q543" s="18">
        <f t="shared" si="634"/>
        <v>22405.5</v>
      </c>
      <c r="R543" s="18" t="e">
        <f t="shared" si="634"/>
        <v>#NUM!</v>
      </c>
      <c r="S543" s="18" t="e">
        <f t="shared" si="634"/>
        <v>#NUM!</v>
      </c>
      <c r="T543" s="18">
        <f t="shared" si="634"/>
        <v>0</v>
      </c>
      <c r="U543" s="18">
        <f t="shared" si="634"/>
        <v>0</v>
      </c>
      <c r="V543" s="18">
        <f t="shared" si="634"/>
        <v>0</v>
      </c>
      <c r="W543" s="18">
        <f t="shared" si="634"/>
        <v>0</v>
      </c>
      <c r="X543" s="18">
        <f t="shared" si="634"/>
        <v>0</v>
      </c>
      <c r="Y543" s="18">
        <f t="shared" si="634"/>
        <v>0</v>
      </c>
      <c r="Z543" s="18">
        <f t="shared" si="634"/>
        <v>0</v>
      </c>
      <c r="AA543" s="18">
        <f t="shared" si="634"/>
        <v>0</v>
      </c>
      <c r="AB543" s="18">
        <f t="shared" si="634"/>
        <v>0</v>
      </c>
      <c r="AC543" s="18">
        <f t="shared" si="634"/>
        <v>0</v>
      </c>
      <c r="AD543" s="18">
        <f t="shared" si="634"/>
        <v>0</v>
      </c>
      <c r="AE543" s="18">
        <f t="shared" si="634"/>
        <v>0</v>
      </c>
      <c r="AF543" s="18">
        <f t="shared" si="634"/>
        <v>0</v>
      </c>
      <c r="AG543" s="18">
        <f t="shared" si="634"/>
        <v>0</v>
      </c>
      <c r="AH543" s="18">
        <f t="shared" si="634"/>
        <v>0</v>
      </c>
      <c r="AI543" s="18">
        <f t="shared" si="634"/>
        <v>0</v>
      </c>
      <c r="AJ543" s="18">
        <f t="shared" si="634"/>
        <v>0</v>
      </c>
      <c r="AK543" s="18">
        <f t="shared" si="634"/>
        <v>0</v>
      </c>
      <c r="AL543" s="18">
        <f t="shared" si="634"/>
        <v>0</v>
      </c>
      <c r="AM543" s="47">
        <f t="shared" si="634"/>
        <v>0</v>
      </c>
      <c r="AN543" s="18">
        <f t="shared" si="634"/>
        <v>0</v>
      </c>
      <c r="AO543" s="18">
        <f t="shared" si="634"/>
        <v>0</v>
      </c>
      <c r="AP543" s="18">
        <f t="shared" si="634"/>
        <v>0</v>
      </c>
      <c r="AQ543" s="18">
        <f t="shared" si="634"/>
        <v>0</v>
      </c>
      <c r="AR543" s="18">
        <f t="shared" si="634"/>
        <v>0</v>
      </c>
      <c r="AS543" s="18">
        <f t="shared" si="634"/>
        <v>0</v>
      </c>
      <c r="AT543" s="18">
        <f t="shared" si="634"/>
        <v>0</v>
      </c>
      <c r="AU543" s="18">
        <f t="shared" si="634"/>
        <v>0</v>
      </c>
      <c r="AV543" s="18">
        <f t="shared" si="634"/>
        <v>0</v>
      </c>
      <c r="AW543" s="18">
        <f t="shared" si="634"/>
        <v>0</v>
      </c>
      <c r="AX543" s="18">
        <f t="shared" si="634"/>
        <v>0</v>
      </c>
    </row>
    <row r="544" spans="1:50" ht="13.5" thickTop="1" x14ac:dyDescent="0.2"/>
    <row r="545" spans="1:50" ht="13.5" thickBot="1" x14ac:dyDescent="0.25">
      <c r="A545" s="25"/>
      <c r="B545" s="25"/>
      <c r="C545" s="27" t="s">
        <v>42</v>
      </c>
      <c r="D545" s="27"/>
    </row>
    <row r="546" spans="1:50" ht="13.5" thickTop="1" x14ac:dyDescent="0.2">
      <c r="A546" s="8">
        <v>10470</v>
      </c>
      <c r="B546" s="89" t="str">
        <f t="shared" ref="B546:B570" si="635">VLOOKUP($A546,$A$5:$K$132,2,FALSE)</f>
        <v>Bathurst Regional</v>
      </c>
      <c r="C546" s="9" t="str">
        <f t="shared" ref="C546:C570" si="636">VLOOKUP($A546,$A$5:$K$133,3,FALSE)</f>
        <v>NetWaste</v>
      </c>
      <c r="D546" s="51" t="str">
        <f t="shared" ref="D546:D570" si="637">VLOOKUP($A546,$A$5:$K$133,4,FALSE)</f>
        <v>N</v>
      </c>
      <c r="E546" s="10" t="str">
        <f t="shared" ref="E546:E570" si="638">VLOOKUP($A546,$A$5:$AX$132,5,FALSE)</f>
        <v>CNJO</v>
      </c>
      <c r="F546" s="10">
        <f t="shared" ref="F546:F570" si="639">VLOOKUP($A546,$A$5:$AX$132,6,FALSE)</f>
        <v>43996</v>
      </c>
      <c r="G546" s="10">
        <f t="shared" ref="G546:G570" si="640">VLOOKUP($A546,$A$5:$AX$132,7,FALSE)</f>
        <v>20082</v>
      </c>
      <c r="H546" s="10">
        <f t="shared" ref="H546:H570" si="641">VLOOKUP($A546,$A$5:$AX$132,8,FALSE)</f>
        <v>2.190817647644657</v>
      </c>
      <c r="I546" s="10">
        <f t="shared" ref="I546:I570" si="642">VLOOKUP($A546,$A$5:$AX$132,9,FALSE)</f>
        <v>3817.9</v>
      </c>
      <c r="J546" s="10">
        <f t="shared" ref="J546:J570" si="643">VLOOKUP($A546,$A$5:$AX$132,10,FALSE)</f>
        <v>11.5</v>
      </c>
      <c r="K546" s="10">
        <f t="shared" ref="K546:K570" si="644">VLOOKUP($A546,$A$5:$AX$132,11,FALSE)</f>
        <v>432</v>
      </c>
      <c r="L546" s="10" t="str">
        <f t="shared" ref="L546:L570" si="645">VLOOKUP($A546,$A$4:$AX$132,12,FALSE)</f>
        <v>Y</v>
      </c>
      <c r="M546" s="10">
        <f t="shared" ref="M546:M570" si="646">VLOOKUP($A546,$A$4:$AX$132,13,FALSE)</f>
        <v>15653</v>
      </c>
      <c r="N546" s="10">
        <f t="shared" ref="N546:N570" si="647">VLOOKUP($A546,$A$4:$AX$132,14,FALSE)</f>
        <v>15608</v>
      </c>
      <c r="O546" s="10">
        <f t="shared" ref="O546:O570" si="648">VLOOKUP($A546,$A$4:$AX$132,15,FALSE)</f>
        <v>0</v>
      </c>
      <c r="P546" s="10">
        <f t="shared" ref="P546:P570" si="649">VLOOKUP($A546,$A$4:$AX$132,16,FALSE)</f>
        <v>14213</v>
      </c>
      <c r="Q546" s="10">
        <f t="shared" ref="Q546:Q570" si="650">VLOOKUP($A546,$A$4:$AX$132,17,FALSE)</f>
        <v>0</v>
      </c>
      <c r="R546" s="10" t="str">
        <f t="shared" ref="R546:R570" si="651">VLOOKUP($A546,$A$4:$AX$132,18,FALSE)</f>
        <v>Yes</v>
      </c>
      <c r="S546" s="10" t="str">
        <f t="shared" ref="S546:S570" si="652">VLOOKUP($A546,$A$4:$AX$132,19,FALSE)</f>
        <v>Bathurst Landfill</v>
      </c>
      <c r="T546" s="10" t="str">
        <f t="shared" ref="T546:T570" si="653">VLOOKUP($A546,$A$4:$AX$132,20,FALSE)</f>
        <v xml:space="preserve">Hillend Landfill </v>
      </c>
      <c r="U546" s="10" t="str">
        <f t="shared" ref="U546:U570" si="654">VLOOKUP($A546,$A$4:$AX$132,21,FALSE)</f>
        <v>Rockly Transfer Station</v>
      </c>
      <c r="V546" s="10" t="str">
        <f t="shared" ref="V546:V570" si="655">VLOOKUP($A546,$A$4:$AX$132,22,FALSE)</f>
        <v>Sofala Transfer Station</v>
      </c>
      <c r="W546" s="10" t="str">
        <f t="shared" ref="W546:W570" si="656">VLOOKUP($A546,$A$4:$AX$132,23,FALSE)</f>
        <v>Sunny Corner Transfer Station</v>
      </c>
      <c r="X546" s="10" t="str">
        <f t="shared" ref="X546:X570" si="657">VLOOKUP($A546,$A$4:$AX$132,24,FALSE)</f>
        <v xml:space="preserve">Trunkey Creek Transfer Station </v>
      </c>
      <c r="Y546" s="10">
        <f t="shared" ref="Y546:Y570" si="658">VLOOKUP($A546,$A$4:$AX$132,25,FALSE)</f>
        <v>0</v>
      </c>
      <c r="Z546" s="10">
        <f t="shared" ref="Z546:Z570" si="659">VLOOKUP($A546,$A$4:$AX$132,26,FALSE)</f>
        <v>0</v>
      </c>
      <c r="AA546" s="10">
        <f t="shared" ref="AA546:AA570" si="660">VLOOKUP($A546,$A$4:$AX$132,27,FALSE)</f>
        <v>0</v>
      </c>
      <c r="AB546" s="10">
        <f t="shared" ref="AB546:AB570" si="661">VLOOKUP($A546,$A$4:$AX$132,28,FALSE)</f>
        <v>0</v>
      </c>
      <c r="AC546" s="10">
        <f t="shared" ref="AC546:AC570" si="662">VLOOKUP($A546,$A$4:$AX$132,29,FALSE)</f>
        <v>0</v>
      </c>
      <c r="AD546" s="10">
        <f t="shared" ref="AD546:AD570" si="663">VLOOKUP($A546,$A$4:$AX$132,30,FALSE)</f>
        <v>0</v>
      </c>
      <c r="AE546" s="10">
        <f t="shared" ref="AE546:AE570" si="664">VLOOKUP($A546,$A$4:$AX$132,31,FALSE)</f>
        <v>0</v>
      </c>
      <c r="AF546" s="10">
        <f t="shared" ref="AF546:AF570" si="665">VLOOKUP($A546,$A$4:$AX$132,32,FALSE)</f>
        <v>0</v>
      </c>
      <c r="AG546" s="10">
        <f t="shared" ref="AG546:AG570" si="666">VLOOKUP($A546,$A$4:$AX$132,33,FALSE)</f>
        <v>0</v>
      </c>
      <c r="AH546" s="10">
        <f t="shared" ref="AH546:AH570" si="667">VLOOKUP($A546,$A$4:$AX$132,34,FALSE)</f>
        <v>0</v>
      </c>
      <c r="AI546" s="10">
        <f t="shared" ref="AI546:AI570" si="668">VLOOKUP($A546,$A$4:$AX$132,35,FALSE)</f>
        <v>0</v>
      </c>
      <c r="AJ546" s="10">
        <f t="shared" ref="AJ546:AJ570" si="669">VLOOKUP($A546,$A$4:$AX$132,36,FALSE)</f>
        <v>0</v>
      </c>
      <c r="AK546" s="10">
        <f t="shared" ref="AK546:AK570" si="670">VLOOKUP($A546,$A$4:$AX$132,37,FALSE)</f>
        <v>0</v>
      </c>
      <c r="AL546" s="10">
        <f t="shared" ref="AL546:AL570" si="671">VLOOKUP($A546,$A$4:$AX$132,38,FALSE)</f>
        <v>0</v>
      </c>
      <c r="AM546" s="10">
        <f t="shared" ref="AM546:AM570" si="672">VLOOKUP($A546,$A$4:$AX$132,39,FALSE)</f>
        <v>0</v>
      </c>
      <c r="AN546" s="46">
        <f t="shared" ref="AN546:AN570" si="673">VLOOKUP($A546,$A$4:$AX$132,40,FALSE)</f>
        <v>0</v>
      </c>
      <c r="AO546" s="10">
        <f t="shared" ref="AO546:AO570" si="674">VLOOKUP($A546,$A$4:$AX$132,41,FALSE)</f>
        <v>0</v>
      </c>
      <c r="AP546" s="10">
        <f t="shared" ref="AP546:AP570" si="675">VLOOKUP($A546,$A$4:$AX$132,42,FALSE)</f>
        <v>0</v>
      </c>
      <c r="AQ546" s="10">
        <f t="shared" ref="AQ546:AQ570" si="676">VLOOKUP($A546,$A$4:$AX$132,43,FALSE)</f>
        <v>0</v>
      </c>
      <c r="AR546" s="10">
        <f t="shared" ref="AR546:AR570" si="677">VLOOKUP($A546,$A$4:$AX$132,44,FALSE)</f>
        <v>0</v>
      </c>
      <c r="AS546" s="10">
        <f t="shared" ref="AS546:AS570" si="678">VLOOKUP($A546,$A$4:$AX$132,45,FALSE)</f>
        <v>0</v>
      </c>
      <c r="AT546" s="10">
        <f t="shared" ref="AT546:AT570" si="679">VLOOKUP($A546,$A$4:$AX$132,46,FALSE)</f>
        <v>0</v>
      </c>
      <c r="AU546" s="10">
        <f t="shared" ref="AU546:AU570" si="680">VLOOKUP($A546,$A$4:$AX$132,47,FALSE)</f>
        <v>0</v>
      </c>
      <c r="AV546" s="10">
        <f t="shared" ref="AV546:AV570" si="681">VLOOKUP($A546,$A$4:$AX$132,48,FALSE)</f>
        <v>0</v>
      </c>
      <c r="AW546" s="10">
        <f t="shared" ref="AW546:AW570" si="682">VLOOKUP($A546,$A$4:$AX$132,49,FALSE)</f>
        <v>0</v>
      </c>
      <c r="AX546" s="10">
        <f t="shared" ref="AX546:AX570" si="683">VLOOKUP($A546,$A$4:$AX$132,50,FALSE)</f>
        <v>0</v>
      </c>
    </row>
    <row r="547" spans="1:50" x14ac:dyDescent="0.2">
      <c r="A547" s="8">
        <v>10850</v>
      </c>
      <c r="B547" s="89" t="str">
        <f t="shared" si="635"/>
        <v>Blayney</v>
      </c>
      <c r="C547" s="9" t="str">
        <f t="shared" si="636"/>
        <v>NetWaste</v>
      </c>
      <c r="D547" s="51" t="str">
        <f t="shared" si="637"/>
        <v>N</v>
      </c>
      <c r="E547" s="10" t="str">
        <f t="shared" si="638"/>
        <v>CNJO</v>
      </c>
      <c r="F547" s="10">
        <f t="shared" si="639"/>
        <v>7382</v>
      </c>
      <c r="G547" s="10">
        <f t="shared" si="640"/>
        <v>4157</v>
      </c>
      <c r="H547" s="10">
        <f t="shared" si="641"/>
        <v>1.7757998556651431</v>
      </c>
      <c r="I547" s="10">
        <f t="shared" si="642"/>
        <v>1524.6</v>
      </c>
      <c r="J547" s="10">
        <f t="shared" si="643"/>
        <v>4.8</v>
      </c>
      <c r="K547" s="10">
        <f t="shared" si="644"/>
        <v>340</v>
      </c>
      <c r="L547" s="10" t="str">
        <f t="shared" si="645"/>
        <v>Y</v>
      </c>
      <c r="M547" s="10">
        <f t="shared" si="646"/>
        <v>2699</v>
      </c>
      <c r="N547" s="10">
        <f t="shared" si="647"/>
        <v>2699</v>
      </c>
      <c r="O547" s="10">
        <f t="shared" si="648"/>
        <v>0</v>
      </c>
      <c r="P547" s="10">
        <f t="shared" si="649"/>
        <v>0</v>
      </c>
      <c r="Q547" s="10">
        <f t="shared" si="650"/>
        <v>4157</v>
      </c>
      <c r="R547" s="10" t="str">
        <f t="shared" si="651"/>
        <v>Yes</v>
      </c>
      <c r="S547" s="10" t="str">
        <f t="shared" si="652"/>
        <v>Blayney Waste Facility</v>
      </c>
      <c r="T547" s="10">
        <f t="shared" si="653"/>
        <v>0</v>
      </c>
      <c r="U547" s="10">
        <f t="shared" si="654"/>
        <v>0</v>
      </c>
      <c r="V547" s="10">
        <f t="shared" si="655"/>
        <v>0</v>
      </c>
      <c r="W547" s="10">
        <f t="shared" si="656"/>
        <v>0</v>
      </c>
      <c r="X547" s="10">
        <f t="shared" si="657"/>
        <v>0</v>
      </c>
      <c r="Y547" s="10">
        <f t="shared" si="658"/>
        <v>0</v>
      </c>
      <c r="Z547" s="10">
        <f t="shared" si="659"/>
        <v>0</v>
      </c>
      <c r="AA547" s="10">
        <f t="shared" si="660"/>
        <v>0</v>
      </c>
      <c r="AB547" s="10">
        <f t="shared" si="661"/>
        <v>0</v>
      </c>
      <c r="AC547" s="10">
        <f t="shared" si="662"/>
        <v>0</v>
      </c>
      <c r="AD547" s="10">
        <f t="shared" si="663"/>
        <v>0</v>
      </c>
      <c r="AE547" s="10">
        <f t="shared" si="664"/>
        <v>0</v>
      </c>
      <c r="AF547" s="10">
        <f t="shared" si="665"/>
        <v>0</v>
      </c>
      <c r="AG547" s="10">
        <f t="shared" si="666"/>
        <v>0</v>
      </c>
      <c r="AH547" s="10">
        <f t="shared" si="667"/>
        <v>0</v>
      </c>
      <c r="AI547" s="10">
        <f t="shared" si="668"/>
        <v>0</v>
      </c>
      <c r="AJ547" s="10">
        <f t="shared" si="669"/>
        <v>0</v>
      </c>
      <c r="AK547" s="10">
        <f t="shared" si="670"/>
        <v>0</v>
      </c>
      <c r="AL547" s="10">
        <f t="shared" si="671"/>
        <v>0</v>
      </c>
      <c r="AM547" s="10">
        <f t="shared" si="672"/>
        <v>0</v>
      </c>
      <c r="AN547" s="46">
        <f t="shared" si="673"/>
        <v>0</v>
      </c>
      <c r="AO547" s="10">
        <f t="shared" si="674"/>
        <v>0</v>
      </c>
      <c r="AP547" s="10">
        <f t="shared" si="675"/>
        <v>0</v>
      </c>
      <c r="AQ547" s="10">
        <f t="shared" si="676"/>
        <v>0</v>
      </c>
      <c r="AR547" s="10">
        <f t="shared" si="677"/>
        <v>0</v>
      </c>
      <c r="AS547" s="10">
        <f t="shared" si="678"/>
        <v>0</v>
      </c>
      <c r="AT547" s="10">
        <f t="shared" si="679"/>
        <v>0</v>
      </c>
      <c r="AU547" s="10">
        <f t="shared" si="680"/>
        <v>0</v>
      </c>
      <c r="AV547" s="10">
        <f t="shared" si="681"/>
        <v>0</v>
      </c>
      <c r="AW547" s="10">
        <f t="shared" si="682"/>
        <v>0</v>
      </c>
      <c r="AX547" s="10">
        <f t="shared" si="683"/>
        <v>0</v>
      </c>
    </row>
    <row r="548" spans="1:50" x14ac:dyDescent="0.2">
      <c r="A548" s="8">
        <v>10950</v>
      </c>
      <c r="B548" s="89" t="str">
        <f t="shared" si="635"/>
        <v>Bogan</v>
      </c>
      <c r="C548" s="9" t="str">
        <f t="shared" si="636"/>
        <v>NetWaste</v>
      </c>
      <c r="D548" s="51" t="str">
        <f t="shared" si="637"/>
        <v>N</v>
      </c>
      <c r="E548" s="10" t="str">
        <f t="shared" si="638"/>
        <v>OJO</v>
      </c>
      <c r="F548" s="10">
        <f t="shared" si="639"/>
        <v>2529</v>
      </c>
      <c r="G548" s="10">
        <f t="shared" si="640"/>
        <v>2116</v>
      </c>
      <c r="H548" s="10">
        <f t="shared" si="641"/>
        <v>1.1951795841209829</v>
      </c>
      <c r="I548" s="10">
        <f t="shared" si="642"/>
        <v>14599.9</v>
      </c>
      <c r="J548" s="10">
        <f t="shared" si="643"/>
        <v>0.2</v>
      </c>
      <c r="K548" s="10">
        <f t="shared" si="644"/>
        <v>501</v>
      </c>
      <c r="L548" s="10" t="str">
        <f t="shared" si="645"/>
        <v>Y</v>
      </c>
      <c r="M548" s="10">
        <f t="shared" si="646"/>
        <v>1040</v>
      </c>
      <c r="N548" s="10">
        <f t="shared" si="647"/>
        <v>1098</v>
      </c>
      <c r="O548" s="10">
        <f t="shared" si="648"/>
        <v>0</v>
      </c>
      <c r="P548" s="10">
        <f t="shared" si="649"/>
        <v>0</v>
      </c>
      <c r="Q548" s="10">
        <f t="shared" si="650"/>
        <v>0</v>
      </c>
      <c r="R548" s="10" t="str">
        <f t="shared" si="651"/>
        <v>Yes</v>
      </c>
      <c r="S548" s="10" t="str">
        <f t="shared" si="652"/>
        <v>Nyngan Waste and Resource Management Facility</v>
      </c>
      <c r="T548" s="10">
        <f t="shared" si="653"/>
        <v>0</v>
      </c>
      <c r="U548" s="10">
        <f t="shared" si="654"/>
        <v>0</v>
      </c>
      <c r="V548" s="10">
        <f t="shared" si="655"/>
        <v>0</v>
      </c>
      <c r="W548" s="10">
        <f t="shared" si="656"/>
        <v>0</v>
      </c>
      <c r="X548" s="10">
        <f t="shared" si="657"/>
        <v>0</v>
      </c>
      <c r="Y548" s="10">
        <f t="shared" si="658"/>
        <v>0</v>
      </c>
      <c r="Z548" s="10">
        <f t="shared" si="659"/>
        <v>0</v>
      </c>
      <c r="AA548" s="10">
        <f t="shared" si="660"/>
        <v>0</v>
      </c>
      <c r="AB548" s="10">
        <f t="shared" si="661"/>
        <v>0</v>
      </c>
      <c r="AC548" s="10">
        <f t="shared" si="662"/>
        <v>0</v>
      </c>
      <c r="AD548" s="10">
        <f t="shared" si="663"/>
        <v>0</v>
      </c>
      <c r="AE548" s="10">
        <f t="shared" si="664"/>
        <v>0</v>
      </c>
      <c r="AF548" s="10">
        <f t="shared" si="665"/>
        <v>0</v>
      </c>
      <c r="AG548" s="10">
        <f t="shared" si="666"/>
        <v>0</v>
      </c>
      <c r="AH548" s="10">
        <f t="shared" si="667"/>
        <v>0</v>
      </c>
      <c r="AI548" s="10">
        <f t="shared" si="668"/>
        <v>0</v>
      </c>
      <c r="AJ548" s="10">
        <f t="shared" si="669"/>
        <v>0</v>
      </c>
      <c r="AK548" s="10">
        <f t="shared" si="670"/>
        <v>0</v>
      </c>
      <c r="AL548" s="10">
        <f t="shared" si="671"/>
        <v>0</v>
      </c>
      <c r="AM548" s="10">
        <f t="shared" si="672"/>
        <v>0</v>
      </c>
      <c r="AN548" s="46">
        <f t="shared" si="673"/>
        <v>0</v>
      </c>
      <c r="AO548" s="10">
        <f t="shared" si="674"/>
        <v>0</v>
      </c>
      <c r="AP548" s="10">
        <f t="shared" si="675"/>
        <v>0</v>
      </c>
      <c r="AQ548" s="10">
        <f t="shared" si="676"/>
        <v>0</v>
      </c>
      <c r="AR548" s="10">
        <f t="shared" si="677"/>
        <v>0</v>
      </c>
      <c r="AS548" s="10">
        <f t="shared" si="678"/>
        <v>0</v>
      </c>
      <c r="AT548" s="10">
        <f t="shared" si="679"/>
        <v>0</v>
      </c>
      <c r="AU548" s="10">
        <f t="shared" si="680"/>
        <v>0</v>
      </c>
      <c r="AV548" s="10">
        <f t="shared" si="681"/>
        <v>0</v>
      </c>
      <c r="AW548" s="10">
        <f t="shared" si="682"/>
        <v>0</v>
      </c>
      <c r="AX548" s="10">
        <f t="shared" si="683"/>
        <v>0</v>
      </c>
    </row>
    <row r="549" spans="1:50" x14ac:dyDescent="0.2">
      <c r="A549" s="8">
        <v>11150</v>
      </c>
      <c r="B549" s="89" t="str">
        <f t="shared" si="635"/>
        <v>Bourke</v>
      </c>
      <c r="C549" s="9" t="str">
        <f t="shared" si="636"/>
        <v>NetWaste</v>
      </c>
      <c r="D549" s="51" t="str">
        <f t="shared" si="637"/>
        <v>N</v>
      </c>
      <c r="E549" s="10" t="str">
        <f t="shared" si="638"/>
        <v>FNWJO</v>
      </c>
      <c r="F549" s="10">
        <f t="shared" si="639"/>
        <v>2625</v>
      </c>
      <c r="G549" s="10">
        <f t="shared" si="640"/>
        <v>1039</v>
      </c>
      <c r="H549" s="10">
        <f t="shared" si="641"/>
        <v>2.5264677574590952</v>
      </c>
      <c r="I549" s="10">
        <f t="shared" si="642"/>
        <v>41599.5</v>
      </c>
      <c r="J549" s="10">
        <f t="shared" si="643"/>
        <v>0.1</v>
      </c>
      <c r="K549" s="10">
        <f t="shared" si="644"/>
        <v>285</v>
      </c>
      <c r="L549" s="10" t="str">
        <f t="shared" si="645"/>
        <v>Y</v>
      </c>
      <c r="M549" s="10">
        <f t="shared" si="646"/>
        <v>974</v>
      </c>
      <c r="N549" s="10">
        <f t="shared" si="647"/>
        <v>0</v>
      </c>
      <c r="O549" s="10">
        <f t="shared" si="648"/>
        <v>0</v>
      </c>
      <c r="P549" s="10">
        <f t="shared" si="649"/>
        <v>0</v>
      </c>
      <c r="Q549" s="10">
        <f t="shared" si="650"/>
        <v>0</v>
      </c>
      <c r="R549" s="10" t="str">
        <f t="shared" si="651"/>
        <v>Yes</v>
      </c>
      <c r="S549" s="10" t="str">
        <f t="shared" si="652"/>
        <v xml:space="preserve"> Bourke</v>
      </c>
      <c r="T549" s="10" t="str">
        <f t="shared" si="653"/>
        <v>Byrock</v>
      </c>
      <c r="U549" s="10" t="str">
        <f t="shared" si="654"/>
        <v>Enngonia</v>
      </c>
      <c r="V549" s="10" t="str">
        <f t="shared" si="655"/>
        <v>Fords Bridge</v>
      </c>
      <c r="W549" s="10" t="str">
        <f t="shared" si="656"/>
        <v>Louth Waste Depot</v>
      </c>
      <c r="X549" s="10" t="str">
        <f t="shared" si="657"/>
        <v>Wanaaring Waste Depot</v>
      </c>
      <c r="Y549" s="10">
        <f t="shared" si="658"/>
        <v>0</v>
      </c>
      <c r="Z549" s="10">
        <f t="shared" si="659"/>
        <v>0</v>
      </c>
      <c r="AA549" s="10">
        <f t="shared" si="660"/>
        <v>0</v>
      </c>
      <c r="AB549" s="10">
        <f t="shared" si="661"/>
        <v>0</v>
      </c>
      <c r="AC549" s="10">
        <f t="shared" si="662"/>
        <v>0</v>
      </c>
      <c r="AD549" s="10">
        <f t="shared" si="663"/>
        <v>0</v>
      </c>
      <c r="AE549" s="10">
        <f t="shared" si="664"/>
        <v>0</v>
      </c>
      <c r="AF549" s="10">
        <f t="shared" si="665"/>
        <v>0</v>
      </c>
      <c r="AG549" s="10">
        <f t="shared" si="666"/>
        <v>0</v>
      </c>
      <c r="AH549" s="10">
        <f t="shared" si="667"/>
        <v>0</v>
      </c>
      <c r="AI549" s="10">
        <f t="shared" si="668"/>
        <v>0</v>
      </c>
      <c r="AJ549" s="10">
        <f t="shared" si="669"/>
        <v>0</v>
      </c>
      <c r="AK549" s="10">
        <f t="shared" si="670"/>
        <v>0</v>
      </c>
      <c r="AL549" s="10">
        <f t="shared" si="671"/>
        <v>0</v>
      </c>
      <c r="AM549" s="10">
        <f t="shared" si="672"/>
        <v>0</v>
      </c>
      <c r="AN549" s="46">
        <f t="shared" si="673"/>
        <v>0</v>
      </c>
      <c r="AO549" s="10">
        <f t="shared" si="674"/>
        <v>0</v>
      </c>
      <c r="AP549" s="10">
        <f t="shared" si="675"/>
        <v>0</v>
      </c>
      <c r="AQ549" s="10">
        <f t="shared" si="676"/>
        <v>0</v>
      </c>
      <c r="AR549" s="10">
        <f t="shared" si="677"/>
        <v>0</v>
      </c>
      <c r="AS549" s="10">
        <f t="shared" si="678"/>
        <v>0</v>
      </c>
      <c r="AT549" s="10">
        <f t="shared" si="679"/>
        <v>0</v>
      </c>
      <c r="AU549" s="10">
        <f t="shared" si="680"/>
        <v>0</v>
      </c>
      <c r="AV549" s="10">
        <f t="shared" si="681"/>
        <v>0</v>
      </c>
      <c r="AW549" s="10">
        <f t="shared" si="682"/>
        <v>0</v>
      </c>
      <c r="AX549" s="10">
        <f t="shared" si="683"/>
        <v>0</v>
      </c>
    </row>
    <row r="550" spans="1:50" x14ac:dyDescent="0.2">
      <c r="A550" s="8">
        <v>11200</v>
      </c>
      <c r="B550" s="89" t="str">
        <f t="shared" si="635"/>
        <v>Brewarrina</v>
      </c>
      <c r="C550" s="9" t="str">
        <f t="shared" si="636"/>
        <v>NetWaste</v>
      </c>
      <c r="D550" s="51" t="str">
        <f t="shared" si="637"/>
        <v>N</v>
      </c>
      <c r="E550" s="10">
        <f t="shared" si="638"/>
        <v>0</v>
      </c>
      <c r="F550" s="10">
        <f t="shared" si="639"/>
        <v>1553</v>
      </c>
      <c r="G550" s="10">
        <f t="shared" si="640"/>
        <v>725</v>
      </c>
      <c r="H550" s="10">
        <f t="shared" si="641"/>
        <v>2.1420689655172414</v>
      </c>
      <c r="I550" s="10">
        <f t="shared" si="642"/>
        <v>19163.5</v>
      </c>
      <c r="J550" s="10">
        <f t="shared" si="643"/>
        <v>0.1</v>
      </c>
      <c r="K550" s="10">
        <f t="shared" si="644"/>
        <v>454</v>
      </c>
      <c r="L550" s="10" t="str">
        <f t="shared" si="645"/>
        <v>Y</v>
      </c>
      <c r="M550" s="10">
        <f t="shared" si="646"/>
        <v>665</v>
      </c>
      <c r="N550" s="10">
        <f t="shared" si="647"/>
        <v>0</v>
      </c>
      <c r="O550" s="10">
        <f t="shared" si="648"/>
        <v>0</v>
      </c>
      <c r="P550" s="10">
        <f t="shared" si="649"/>
        <v>0</v>
      </c>
      <c r="Q550" s="10">
        <f t="shared" si="650"/>
        <v>725</v>
      </c>
      <c r="R550" s="10" t="str">
        <f t="shared" si="651"/>
        <v>Yes</v>
      </c>
      <c r="S550" s="10" t="str">
        <f t="shared" si="652"/>
        <v>Brewarrina Waste Depot</v>
      </c>
      <c r="T550" s="10" t="str">
        <f t="shared" si="653"/>
        <v xml:space="preserve">Goodooga Waste Depot </v>
      </c>
      <c r="U550" s="10" t="str">
        <f t="shared" si="654"/>
        <v xml:space="preserve">Angledool </v>
      </c>
      <c r="V550" s="10" t="str">
        <f t="shared" si="655"/>
        <v>Weilmoringle</v>
      </c>
      <c r="W550" s="10">
        <f t="shared" si="656"/>
        <v>0</v>
      </c>
      <c r="X550" s="10">
        <f t="shared" si="657"/>
        <v>0</v>
      </c>
      <c r="Y550" s="10">
        <f t="shared" si="658"/>
        <v>0</v>
      </c>
      <c r="Z550" s="10">
        <f t="shared" si="659"/>
        <v>0</v>
      </c>
      <c r="AA550" s="10">
        <f t="shared" si="660"/>
        <v>0</v>
      </c>
      <c r="AB550" s="10">
        <f t="shared" si="661"/>
        <v>0</v>
      </c>
      <c r="AC550" s="10">
        <f t="shared" si="662"/>
        <v>0</v>
      </c>
      <c r="AD550" s="10">
        <f t="shared" si="663"/>
        <v>0</v>
      </c>
      <c r="AE550" s="10">
        <f t="shared" si="664"/>
        <v>0</v>
      </c>
      <c r="AF550" s="10">
        <f t="shared" si="665"/>
        <v>0</v>
      </c>
      <c r="AG550" s="10">
        <f t="shared" si="666"/>
        <v>0</v>
      </c>
      <c r="AH550" s="10">
        <f t="shared" si="667"/>
        <v>0</v>
      </c>
      <c r="AI550" s="10">
        <f t="shared" si="668"/>
        <v>0</v>
      </c>
      <c r="AJ550" s="10">
        <f t="shared" si="669"/>
        <v>0</v>
      </c>
      <c r="AK550" s="10">
        <f t="shared" si="670"/>
        <v>0</v>
      </c>
      <c r="AL550" s="10">
        <f t="shared" si="671"/>
        <v>0</v>
      </c>
      <c r="AM550" s="10">
        <f t="shared" si="672"/>
        <v>0</v>
      </c>
      <c r="AN550" s="46">
        <f t="shared" si="673"/>
        <v>0</v>
      </c>
      <c r="AO550" s="10">
        <f t="shared" si="674"/>
        <v>0</v>
      </c>
      <c r="AP550" s="10">
        <f t="shared" si="675"/>
        <v>0</v>
      </c>
      <c r="AQ550" s="10">
        <f t="shared" si="676"/>
        <v>0</v>
      </c>
      <c r="AR550" s="10">
        <f t="shared" si="677"/>
        <v>0</v>
      </c>
      <c r="AS550" s="10">
        <f t="shared" si="678"/>
        <v>0</v>
      </c>
      <c r="AT550" s="10">
        <f t="shared" si="679"/>
        <v>0</v>
      </c>
      <c r="AU550" s="10">
        <f t="shared" si="680"/>
        <v>0</v>
      </c>
      <c r="AV550" s="10">
        <f t="shared" si="681"/>
        <v>0</v>
      </c>
      <c r="AW550" s="10">
        <f t="shared" si="682"/>
        <v>0</v>
      </c>
      <c r="AX550" s="10">
        <f t="shared" si="683"/>
        <v>0</v>
      </c>
    </row>
    <row r="551" spans="1:50" x14ac:dyDescent="0.2">
      <c r="A551" s="8">
        <v>11250</v>
      </c>
      <c r="B551" s="89" t="str">
        <f t="shared" si="635"/>
        <v>Broken Hill</v>
      </c>
      <c r="C551" s="9" t="str">
        <f t="shared" si="636"/>
        <v>NetWaste</v>
      </c>
      <c r="D551" s="51" t="str">
        <f t="shared" si="637"/>
        <v>N</v>
      </c>
      <c r="E551" s="10" t="str">
        <f t="shared" si="638"/>
        <v>FSWJO</v>
      </c>
      <c r="F551" s="10">
        <f t="shared" si="639"/>
        <v>17269</v>
      </c>
      <c r="G551" s="10">
        <f t="shared" si="640"/>
        <v>10574</v>
      </c>
      <c r="H551" s="10">
        <f t="shared" si="641"/>
        <v>1.6331567996973708</v>
      </c>
      <c r="I551" s="10">
        <f t="shared" si="642"/>
        <v>170.1</v>
      </c>
      <c r="J551" s="10">
        <f t="shared" si="643"/>
        <v>101.5</v>
      </c>
      <c r="K551" s="10">
        <f t="shared" si="644"/>
        <v>51</v>
      </c>
      <c r="L551" s="10" t="str">
        <f t="shared" si="645"/>
        <v>Y</v>
      </c>
      <c r="M551" s="10">
        <f t="shared" si="646"/>
        <v>9175</v>
      </c>
      <c r="N551" s="10">
        <f t="shared" si="647"/>
        <v>0</v>
      </c>
      <c r="O551" s="10">
        <f t="shared" si="648"/>
        <v>0</v>
      </c>
      <c r="P551" s="10">
        <f t="shared" si="649"/>
        <v>9230</v>
      </c>
      <c r="Q551" s="10">
        <f t="shared" si="650"/>
        <v>0</v>
      </c>
      <c r="R551" s="10" t="str">
        <f t="shared" si="651"/>
        <v>Yes</v>
      </c>
      <c r="S551" s="10" t="str">
        <f t="shared" si="652"/>
        <v>Broken Hill Waste Management Facility, 1 Wills Street Broken Hill</v>
      </c>
      <c r="T551" s="10">
        <f t="shared" si="653"/>
        <v>0</v>
      </c>
      <c r="U551" s="10">
        <f t="shared" si="654"/>
        <v>0</v>
      </c>
      <c r="V551" s="10">
        <f t="shared" si="655"/>
        <v>0</v>
      </c>
      <c r="W551" s="10">
        <f t="shared" si="656"/>
        <v>0</v>
      </c>
      <c r="X551" s="10">
        <f t="shared" si="657"/>
        <v>0</v>
      </c>
      <c r="Y551" s="10">
        <f t="shared" si="658"/>
        <v>0</v>
      </c>
      <c r="Z551" s="10">
        <f t="shared" si="659"/>
        <v>0</v>
      </c>
      <c r="AA551" s="10">
        <f t="shared" si="660"/>
        <v>0</v>
      </c>
      <c r="AB551" s="10">
        <f t="shared" si="661"/>
        <v>0</v>
      </c>
      <c r="AC551" s="10">
        <f t="shared" si="662"/>
        <v>0</v>
      </c>
      <c r="AD551" s="10">
        <f t="shared" si="663"/>
        <v>0</v>
      </c>
      <c r="AE551" s="10">
        <f t="shared" si="664"/>
        <v>0</v>
      </c>
      <c r="AF551" s="10">
        <f t="shared" si="665"/>
        <v>0</v>
      </c>
      <c r="AG551" s="10">
        <f t="shared" si="666"/>
        <v>0</v>
      </c>
      <c r="AH551" s="10">
        <f t="shared" si="667"/>
        <v>0</v>
      </c>
      <c r="AI551" s="10">
        <f t="shared" si="668"/>
        <v>0</v>
      </c>
      <c r="AJ551" s="10">
        <f t="shared" si="669"/>
        <v>0</v>
      </c>
      <c r="AK551" s="10">
        <f t="shared" si="670"/>
        <v>0</v>
      </c>
      <c r="AL551" s="10">
        <f t="shared" si="671"/>
        <v>0</v>
      </c>
      <c r="AM551" s="10">
        <f t="shared" si="672"/>
        <v>0</v>
      </c>
      <c r="AN551" s="46">
        <f t="shared" si="673"/>
        <v>0</v>
      </c>
      <c r="AO551" s="10">
        <f t="shared" si="674"/>
        <v>0</v>
      </c>
      <c r="AP551" s="10">
        <f t="shared" si="675"/>
        <v>0</v>
      </c>
      <c r="AQ551" s="10">
        <f t="shared" si="676"/>
        <v>0</v>
      </c>
      <c r="AR551" s="10">
        <f t="shared" si="677"/>
        <v>0</v>
      </c>
      <c r="AS551" s="10">
        <f t="shared" si="678"/>
        <v>0</v>
      </c>
      <c r="AT551" s="10">
        <f t="shared" si="679"/>
        <v>0</v>
      </c>
      <c r="AU551" s="10">
        <f t="shared" si="680"/>
        <v>0</v>
      </c>
      <c r="AV551" s="10">
        <f t="shared" si="681"/>
        <v>0</v>
      </c>
      <c r="AW551" s="10">
        <f t="shared" si="682"/>
        <v>0</v>
      </c>
      <c r="AX551" s="10">
        <f t="shared" si="683"/>
        <v>0</v>
      </c>
    </row>
    <row r="552" spans="1:50" x14ac:dyDescent="0.2">
      <c r="A552" s="8">
        <v>11400</v>
      </c>
      <c r="B552" s="89" t="str">
        <f t="shared" si="635"/>
        <v>Cabonne</v>
      </c>
      <c r="C552" s="9" t="str">
        <f t="shared" si="636"/>
        <v>NetWaste</v>
      </c>
      <c r="D552" s="51" t="str">
        <f t="shared" si="637"/>
        <v>N</v>
      </c>
      <c r="E552" s="10" t="str">
        <f t="shared" si="638"/>
        <v>CNJO</v>
      </c>
      <c r="F552" s="10">
        <f t="shared" si="639"/>
        <v>13677</v>
      </c>
      <c r="G552" s="10">
        <f t="shared" si="640"/>
        <v>7436</v>
      </c>
      <c r="H552" s="10">
        <f t="shared" si="641"/>
        <v>1.8392953200645508</v>
      </c>
      <c r="I552" s="10">
        <f t="shared" si="642"/>
        <v>6022.3</v>
      </c>
      <c r="J552" s="10">
        <f t="shared" si="643"/>
        <v>2.2999999999999998</v>
      </c>
      <c r="K552" s="10">
        <f t="shared" si="644"/>
        <v>397.4</v>
      </c>
      <c r="L552" s="10" t="str">
        <f t="shared" si="645"/>
        <v>Y</v>
      </c>
      <c r="M552" s="10">
        <f t="shared" si="646"/>
        <v>3691</v>
      </c>
      <c r="N552" s="10">
        <f t="shared" si="647"/>
        <v>3691</v>
      </c>
      <c r="O552" s="10">
        <f t="shared" si="648"/>
        <v>0</v>
      </c>
      <c r="P552" s="10">
        <f t="shared" si="649"/>
        <v>0</v>
      </c>
      <c r="Q552" s="10">
        <f t="shared" si="650"/>
        <v>7436</v>
      </c>
      <c r="R552" s="10" t="str">
        <f t="shared" si="651"/>
        <v>Yes</v>
      </c>
      <c r="S552" s="10" t="str">
        <f t="shared" si="652"/>
        <v>Canowindra - Nangar Road, Canowindra NSW 2804</v>
      </c>
      <c r="T552" s="10" t="str">
        <f t="shared" si="653"/>
        <v>Cumnock - Baldry Road, Cumnock NSW 2867</v>
      </c>
      <c r="U552" s="10" t="str">
        <f t="shared" si="654"/>
        <v>Eugowra - The Escort Way, Eugowra NSW 2806</v>
      </c>
      <c r="V552" s="10" t="str">
        <f t="shared" si="655"/>
        <v>Manildra - Yellowbox Road, Manildra NSW 2865</v>
      </c>
      <c r="W552" s="10">
        <f t="shared" si="656"/>
        <v>0</v>
      </c>
      <c r="X552" s="10">
        <f t="shared" si="657"/>
        <v>0</v>
      </c>
      <c r="Y552" s="10">
        <f t="shared" si="658"/>
        <v>0</v>
      </c>
      <c r="Z552" s="10">
        <f t="shared" si="659"/>
        <v>0</v>
      </c>
      <c r="AA552" s="10">
        <f t="shared" si="660"/>
        <v>0</v>
      </c>
      <c r="AB552" s="10">
        <f t="shared" si="661"/>
        <v>0</v>
      </c>
      <c r="AC552" s="10">
        <f t="shared" si="662"/>
        <v>0</v>
      </c>
      <c r="AD552" s="10">
        <f t="shared" si="663"/>
        <v>0</v>
      </c>
      <c r="AE552" s="10">
        <f t="shared" si="664"/>
        <v>0</v>
      </c>
      <c r="AF552" s="10">
        <f t="shared" si="665"/>
        <v>0</v>
      </c>
      <c r="AG552" s="10">
        <f t="shared" si="666"/>
        <v>0</v>
      </c>
      <c r="AH552" s="10">
        <f t="shared" si="667"/>
        <v>0</v>
      </c>
      <c r="AI552" s="10">
        <f t="shared" si="668"/>
        <v>0</v>
      </c>
      <c r="AJ552" s="10">
        <f t="shared" si="669"/>
        <v>0</v>
      </c>
      <c r="AK552" s="10">
        <f t="shared" si="670"/>
        <v>0</v>
      </c>
      <c r="AL552" s="10">
        <f t="shared" si="671"/>
        <v>0</v>
      </c>
      <c r="AM552" s="10">
        <f t="shared" si="672"/>
        <v>0</v>
      </c>
      <c r="AN552" s="46">
        <f t="shared" si="673"/>
        <v>0</v>
      </c>
      <c r="AO552" s="10">
        <f t="shared" si="674"/>
        <v>0</v>
      </c>
      <c r="AP552" s="10">
        <f t="shared" si="675"/>
        <v>0</v>
      </c>
      <c r="AQ552" s="10">
        <f t="shared" si="676"/>
        <v>0</v>
      </c>
      <c r="AR552" s="10">
        <f t="shared" si="677"/>
        <v>0</v>
      </c>
      <c r="AS552" s="10">
        <f t="shared" si="678"/>
        <v>0</v>
      </c>
      <c r="AT552" s="10">
        <f t="shared" si="679"/>
        <v>0</v>
      </c>
      <c r="AU552" s="10">
        <f t="shared" si="680"/>
        <v>0</v>
      </c>
      <c r="AV552" s="10">
        <f t="shared" si="681"/>
        <v>0</v>
      </c>
      <c r="AW552" s="10">
        <f t="shared" si="682"/>
        <v>0</v>
      </c>
      <c r="AX552" s="10">
        <f t="shared" si="683"/>
        <v>0</v>
      </c>
    </row>
    <row r="553" spans="1:50" x14ac:dyDescent="0.2">
      <c r="A553" s="8">
        <v>11700</v>
      </c>
      <c r="B553" s="89" t="str">
        <f t="shared" si="635"/>
        <v>Central Darling</v>
      </c>
      <c r="C553" s="9" t="str">
        <f t="shared" si="636"/>
        <v>NetWaste</v>
      </c>
      <c r="D553" s="51" t="str">
        <f t="shared" si="637"/>
        <v>N</v>
      </c>
      <c r="E553" s="10" t="str">
        <f t="shared" si="638"/>
        <v>FSWJO</v>
      </c>
      <c r="F553" s="10">
        <f t="shared" si="639"/>
        <v>1829</v>
      </c>
      <c r="G553" s="10">
        <f t="shared" si="640"/>
        <v>1953</v>
      </c>
      <c r="H553" s="10">
        <f t="shared" si="641"/>
        <v>0.93650793650793651</v>
      </c>
      <c r="I553" s="10">
        <f t="shared" si="642"/>
        <v>53492.2</v>
      </c>
      <c r="J553" s="10">
        <f t="shared" si="643"/>
        <v>0</v>
      </c>
      <c r="K553" s="10">
        <f t="shared" si="644"/>
        <v>617</v>
      </c>
      <c r="L553" s="10" t="str">
        <f t="shared" si="645"/>
        <v>Y</v>
      </c>
      <c r="M553" s="10">
        <f t="shared" si="646"/>
        <v>719</v>
      </c>
      <c r="N553" s="10">
        <f t="shared" si="647"/>
        <v>0</v>
      </c>
      <c r="O553" s="10">
        <f t="shared" si="648"/>
        <v>0</v>
      </c>
      <c r="P553" s="10">
        <f t="shared" si="649"/>
        <v>0</v>
      </c>
      <c r="Q553" s="10">
        <f t="shared" si="650"/>
        <v>0</v>
      </c>
      <c r="R553" s="10" t="str">
        <f t="shared" si="651"/>
        <v>Yes</v>
      </c>
      <c r="S553" s="10" t="str">
        <f t="shared" si="652"/>
        <v>Tilpa landfill</v>
      </c>
      <c r="T553" s="10" t="str">
        <f t="shared" si="653"/>
        <v>Wilcannia landfill</v>
      </c>
      <c r="U553" s="10" t="str">
        <f t="shared" si="654"/>
        <v>Menindee landfill</v>
      </c>
      <c r="V553" s="10" t="str">
        <f t="shared" si="655"/>
        <v>Ivanhoe landfill</v>
      </c>
      <c r="W553" s="10" t="str">
        <f t="shared" si="656"/>
        <v>Sunset Strip landfill</v>
      </c>
      <c r="X553" s="10" t="str">
        <f t="shared" si="657"/>
        <v>White Cliffs landfill</v>
      </c>
      <c r="Y553" s="10">
        <f t="shared" si="658"/>
        <v>0</v>
      </c>
      <c r="Z553" s="10">
        <f t="shared" si="659"/>
        <v>0</v>
      </c>
      <c r="AA553" s="10">
        <f t="shared" si="660"/>
        <v>0</v>
      </c>
      <c r="AB553" s="10">
        <f t="shared" si="661"/>
        <v>0</v>
      </c>
      <c r="AC553" s="10">
        <f t="shared" si="662"/>
        <v>0</v>
      </c>
      <c r="AD553" s="10">
        <f t="shared" si="663"/>
        <v>0</v>
      </c>
      <c r="AE553" s="10">
        <f t="shared" si="664"/>
        <v>0</v>
      </c>
      <c r="AF553" s="10">
        <f t="shared" si="665"/>
        <v>0</v>
      </c>
      <c r="AG553" s="10">
        <f t="shared" si="666"/>
        <v>0</v>
      </c>
      <c r="AH553" s="10">
        <f t="shared" si="667"/>
        <v>0</v>
      </c>
      <c r="AI553" s="10">
        <f t="shared" si="668"/>
        <v>0</v>
      </c>
      <c r="AJ553" s="10">
        <f t="shared" si="669"/>
        <v>0</v>
      </c>
      <c r="AK553" s="10">
        <f t="shared" si="670"/>
        <v>0</v>
      </c>
      <c r="AL553" s="10">
        <f t="shared" si="671"/>
        <v>0</v>
      </c>
      <c r="AM553" s="10">
        <f t="shared" si="672"/>
        <v>0</v>
      </c>
      <c r="AN553" s="46">
        <f t="shared" si="673"/>
        <v>0</v>
      </c>
      <c r="AO553" s="10">
        <f t="shared" si="674"/>
        <v>0</v>
      </c>
      <c r="AP553" s="10">
        <f t="shared" si="675"/>
        <v>0</v>
      </c>
      <c r="AQ553" s="10">
        <f t="shared" si="676"/>
        <v>0</v>
      </c>
      <c r="AR553" s="10">
        <f t="shared" si="677"/>
        <v>0</v>
      </c>
      <c r="AS553" s="10">
        <f t="shared" si="678"/>
        <v>0</v>
      </c>
      <c r="AT553" s="10">
        <f t="shared" si="679"/>
        <v>0</v>
      </c>
      <c r="AU553" s="10">
        <f t="shared" si="680"/>
        <v>0</v>
      </c>
      <c r="AV553" s="10">
        <f t="shared" si="681"/>
        <v>0</v>
      </c>
      <c r="AW553" s="10">
        <f t="shared" si="682"/>
        <v>0</v>
      </c>
      <c r="AX553" s="10">
        <f t="shared" si="683"/>
        <v>0</v>
      </c>
    </row>
    <row r="554" spans="1:50" x14ac:dyDescent="0.2">
      <c r="A554" s="8">
        <v>11750</v>
      </c>
      <c r="B554" s="89" t="str">
        <f t="shared" si="635"/>
        <v>Cobar</v>
      </c>
      <c r="C554" s="9" t="str">
        <f t="shared" si="636"/>
        <v>NetWaste</v>
      </c>
      <c r="D554" s="51" t="str">
        <f t="shared" si="637"/>
        <v>N</v>
      </c>
      <c r="E554" s="10" t="str">
        <f t="shared" si="638"/>
        <v>FNWJO</v>
      </c>
      <c r="F554" s="10">
        <f t="shared" si="639"/>
        <v>4417</v>
      </c>
      <c r="G554" s="10">
        <f t="shared" si="640"/>
        <v>2887</v>
      </c>
      <c r="H554" s="10">
        <f t="shared" si="641"/>
        <v>1.5299618981641843</v>
      </c>
      <c r="I554" s="10">
        <f t="shared" si="642"/>
        <v>45575.4</v>
      </c>
      <c r="J554" s="10">
        <f t="shared" si="643"/>
        <v>0.1</v>
      </c>
      <c r="K554" s="10">
        <f t="shared" si="644"/>
        <v>252</v>
      </c>
      <c r="L554" s="10" t="str">
        <f t="shared" si="645"/>
        <v>Y</v>
      </c>
      <c r="M554" s="10">
        <f t="shared" si="646"/>
        <v>1763</v>
      </c>
      <c r="N554" s="10">
        <f t="shared" si="647"/>
        <v>0</v>
      </c>
      <c r="O554" s="10">
        <f t="shared" si="648"/>
        <v>0</v>
      </c>
      <c r="P554" s="10">
        <f t="shared" si="649"/>
        <v>0</v>
      </c>
      <c r="Q554" s="10">
        <f t="shared" si="650"/>
        <v>0</v>
      </c>
      <c r="R554" s="10" t="str">
        <f t="shared" si="651"/>
        <v>Yes</v>
      </c>
      <c r="S554" s="10" t="str">
        <f t="shared" si="652"/>
        <v xml:space="preserve">Cobar Landfill </v>
      </c>
      <c r="T554" s="10" t="str">
        <f t="shared" si="653"/>
        <v>Canbeligo Transfer Station</v>
      </c>
      <c r="U554" s="10" t="str">
        <f t="shared" si="654"/>
        <v xml:space="preserve">Nymagee Landfill </v>
      </c>
      <c r="V554" s="10" t="str">
        <f t="shared" si="655"/>
        <v xml:space="preserve">Euabalong Landfill </v>
      </c>
      <c r="W554" s="10" t="str">
        <f t="shared" si="656"/>
        <v xml:space="preserve">Euabalong West Landfill </v>
      </c>
      <c r="X554" s="10" t="str">
        <f t="shared" si="657"/>
        <v>Mount Hope</v>
      </c>
      <c r="Y554" s="10">
        <f t="shared" si="658"/>
        <v>0</v>
      </c>
      <c r="Z554" s="10">
        <f t="shared" si="659"/>
        <v>0</v>
      </c>
      <c r="AA554" s="10">
        <f t="shared" si="660"/>
        <v>0</v>
      </c>
      <c r="AB554" s="10">
        <f t="shared" si="661"/>
        <v>0</v>
      </c>
      <c r="AC554" s="10">
        <f t="shared" si="662"/>
        <v>0</v>
      </c>
      <c r="AD554" s="10">
        <f t="shared" si="663"/>
        <v>0</v>
      </c>
      <c r="AE554" s="10">
        <f t="shared" si="664"/>
        <v>0</v>
      </c>
      <c r="AF554" s="10">
        <f t="shared" si="665"/>
        <v>0</v>
      </c>
      <c r="AG554" s="10">
        <f t="shared" si="666"/>
        <v>0</v>
      </c>
      <c r="AH554" s="10">
        <f t="shared" si="667"/>
        <v>0</v>
      </c>
      <c r="AI554" s="10">
        <f t="shared" si="668"/>
        <v>0</v>
      </c>
      <c r="AJ554" s="10">
        <f t="shared" si="669"/>
        <v>0</v>
      </c>
      <c r="AK554" s="10">
        <f t="shared" si="670"/>
        <v>0</v>
      </c>
      <c r="AL554" s="10">
        <f t="shared" si="671"/>
        <v>0</v>
      </c>
      <c r="AM554" s="10">
        <f t="shared" si="672"/>
        <v>0</v>
      </c>
      <c r="AN554" s="46">
        <f t="shared" si="673"/>
        <v>0</v>
      </c>
      <c r="AO554" s="10">
        <f t="shared" si="674"/>
        <v>0</v>
      </c>
      <c r="AP554" s="10">
        <f t="shared" si="675"/>
        <v>0</v>
      </c>
      <c r="AQ554" s="10">
        <f t="shared" si="676"/>
        <v>0</v>
      </c>
      <c r="AR554" s="10">
        <f t="shared" si="677"/>
        <v>0</v>
      </c>
      <c r="AS554" s="10">
        <f t="shared" si="678"/>
        <v>0</v>
      </c>
      <c r="AT554" s="10">
        <f t="shared" si="679"/>
        <v>0</v>
      </c>
      <c r="AU554" s="10">
        <f t="shared" si="680"/>
        <v>0</v>
      </c>
      <c r="AV554" s="10">
        <f t="shared" si="681"/>
        <v>0</v>
      </c>
      <c r="AW554" s="10">
        <f t="shared" si="682"/>
        <v>0</v>
      </c>
      <c r="AX554" s="10">
        <f t="shared" si="683"/>
        <v>0</v>
      </c>
    </row>
    <row r="555" spans="1:50" x14ac:dyDescent="0.2">
      <c r="A555" s="8">
        <v>12150</v>
      </c>
      <c r="B555" s="89" t="str">
        <f t="shared" si="635"/>
        <v>Coonamble</v>
      </c>
      <c r="C555" s="9" t="str">
        <f t="shared" si="636"/>
        <v>NetWaste</v>
      </c>
      <c r="D555" s="51" t="str">
        <f t="shared" si="637"/>
        <v>N</v>
      </c>
      <c r="E555" s="10">
        <f t="shared" si="638"/>
        <v>0</v>
      </c>
      <c r="F555" s="10">
        <f t="shared" si="639"/>
        <v>3907</v>
      </c>
      <c r="G555" s="10">
        <f t="shared" si="640"/>
        <v>2714</v>
      </c>
      <c r="H555" s="10">
        <f t="shared" si="641"/>
        <v>1.439572586588062</v>
      </c>
      <c r="I555" s="10">
        <f t="shared" si="642"/>
        <v>9916.1</v>
      </c>
      <c r="J555" s="10">
        <f t="shared" si="643"/>
        <v>0.4</v>
      </c>
      <c r="K555" s="10">
        <f t="shared" si="644"/>
        <v>280</v>
      </c>
      <c r="L555" s="10" t="str">
        <f t="shared" si="645"/>
        <v>Y</v>
      </c>
      <c r="M555" s="10">
        <f t="shared" si="646"/>
        <v>1527</v>
      </c>
      <c r="N555" s="10">
        <f t="shared" si="647"/>
        <v>0</v>
      </c>
      <c r="O555" s="10">
        <f t="shared" si="648"/>
        <v>0</v>
      </c>
      <c r="P555" s="10">
        <f t="shared" si="649"/>
        <v>0</v>
      </c>
      <c r="Q555" s="10">
        <f t="shared" si="650"/>
        <v>0</v>
      </c>
      <c r="R555" s="10" t="str">
        <f t="shared" si="651"/>
        <v>Yes</v>
      </c>
      <c r="S555" s="10" t="str">
        <f t="shared" si="652"/>
        <v>Coonamble Landfill</v>
      </c>
      <c r="T555" s="10" t="str">
        <f t="shared" si="653"/>
        <v>Gulargambone Transfer Station</v>
      </c>
      <c r="U555" s="10">
        <f t="shared" si="654"/>
        <v>0</v>
      </c>
      <c r="V555" s="10">
        <f t="shared" si="655"/>
        <v>0</v>
      </c>
      <c r="W555" s="10">
        <f t="shared" si="656"/>
        <v>0</v>
      </c>
      <c r="X555" s="10">
        <f t="shared" si="657"/>
        <v>0</v>
      </c>
      <c r="Y555" s="10">
        <f t="shared" si="658"/>
        <v>0</v>
      </c>
      <c r="Z555" s="10">
        <f t="shared" si="659"/>
        <v>0</v>
      </c>
      <c r="AA555" s="10">
        <f t="shared" si="660"/>
        <v>0</v>
      </c>
      <c r="AB555" s="10">
        <f t="shared" si="661"/>
        <v>0</v>
      </c>
      <c r="AC555" s="10">
        <f t="shared" si="662"/>
        <v>0</v>
      </c>
      <c r="AD555" s="10">
        <f t="shared" si="663"/>
        <v>0</v>
      </c>
      <c r="AE555" s="10">
        <f t="shared" si="664"/>
        <v>0</v>
      </c>
      <c r="AF555" s="10">
        <f t="shared" si="665"/>
        <v>0</v>
      </c>
      <c r="AG555" s="10">
        <f t="shared" si="666"/>
        <v>0</v>
      </c>
      <c r="AH555" s="10">
        <f t="shared" si="667"/>
        <v>0</v>
      </c>
      <c r="AI555" s="10">
        <f t="shared" si="668"/>
        <v>0</v>
      </c>
      <c r="AJ555" s="10">
        <f t="shared" si="669"/>
        <v>0</v>
      </c>
      <c r="AK555" s="10">
        <f t="shared" si="670"/>
        <v>0</v>
      </c>
      <c r="AL555" s="10">
        <f t="shared" si="671"/>
        <v>0</v>
      </c>
      <c r="AM555" s="10">
        <f t="shared" si="672"/>
        <v>0</v>
      </c>
      <c r="AN555" s="46">
        <f t="shared" si="673"/>
        <v>0</v>
      </c>
      <c r="AO555" s="10">
        <f t="shared" si="674"/>
        <v>0</v>
      </c>
      <c r="AP555" s="10">
        <f t="shared" si="675"/>
        <v>0</v>
      </c>
      <c r="AQ555" s="10">
        <f t="shared" si="676"/>
        <v>0</v>
      </c>
      <c r="AR555" s="10">
        <f t="shared" si="677"/>
        <v>0</v>
      </c>
      <c r="AS555" s="10">
        <f t="shared" si="678"/>
        <v>0</v>
      </c>
      <c r="AT555" s="10">
        <f t="shared" si="679"/>
        <v>0</v>
      </c>
      <c r="AU555" s="10">
        <f t="shared" si="680"/>
        <v>0</v>
      </c>
      <c r="AV555" s="10">
        <f t="shared" si="681"/>
        <v>0</v>
      </c>
      <c r="AW555" s="10">
        <f t="shared" si="682"/>
        <v>0</v>
      </c>
      <c r="AX555" s="10">
        <f t="shared" si="683"/>
        <v>0</v>
      </c>
    </row>
    <row r="556" spans="1:50" x14ac:dyDescent="0.2">
      <c r="A556" s="8">
        <v>12350</v>
      </c>
      <c r="B556" s="89" t="str">
        <f t="shared" si="635"/>
        <v>Cowra</v>
      </c>
      <c r="C556" s="9" t="str">
        <f t="shared" si="636"/>
        <v>NetWaste</v>
      </c>
      <c r="D556" s="51" t="str">
        <f t="shared" si="637"/>
        <v>N</v>
      </c>
      <c r="E556" s="10" t="str">
        <f t="shared" si="638"/>
        <v>CNJO</v>
      </c>
      <c r="F556" s="10">
        <f t="shared" si="639"/>
        <v>12730</v>
      </c>
      <c r="G556" s="10">
        <f t="shared" si="640"/>
        <v>5262</v>
      </c>
      <c r="H556" s="10">
        <f t="shared" si="641"/>
        <v>2.4192322310908398</v>
      </c>
      <c r="I556" s="10">
        <f t="shared" si="642"/>
        <v>2808.8</v>
      </c>
      <c r="J556" s="10">
        <f t="shared" si="643"/>
        <v>4.5</v>
      </c>
      <c r="K556" s="10">
        <f t="shared" si="644"/>
        <v>669</v>
      </c>
      <c r="L556" s="10" t="str">
        <f t="shared" si="645"/>
        <v>Y</v>
      </c>
      <c r="M556" s="10">
        <f t="shared" si="646"/>
        <v>4763</v>
      </c>
      <c r="N556" s="10">
        <f t="shared" si="647"/>
        <v>4476</v>
      </c>
      <c r="O556" s="10">
        <f t="shared" si="648"/>
        <v>0</v>
      </c>
      <c r="P556" s="10">
        <f t="shared" si="649"/>
        <v>0</v>
      </c>
      <c r="Q556" s="10">
        <f t="shared" si="650"/>
        <v>0</v>
      </c>
      <c r="R556" s="10" t="str">
        <f t="shared" si="651"/>
        <v>Yes</v>
      </c>
      <c r="S556" s="10" t="str">
        <f t="shared" si="652"/>
        <v>Cowra MRF &amp; Landfill, 236 Glen Logan Rd, Cowra 2794</v>
      </c>
      <c r="T556" s="10">
        <f t="shared" si="653"/>
        <v>0</v>
      </c>
      <c r="U556" s="10">
        <f t="shared" si="654"/>
        <v>0</v>
      </c>
      <c r="V556" s="10">
        <f t="shared" si="655"/>
        <v>0</v>
      </c>
      <c r="W556" s="10">
        <f t="shared" si="656"/>
        <v>0</v>
      </c>
      <c r="X556" s="10">
        <f t="shared" si="657"/>
        <v>0</v>
      </c>
      <c r="Y556" s="10">
        <f t="shared" si="658"/>
        <v>0</v>
      </c>
      <c r="Z556" s="10">
        <f t="shared" si="659"/>
        <v>0</v>
      </c>
      <c r="AA556" s="10">
        <f t="shared" si="660"/>
        <v>0</v>
      </c>
      <c r="AB556" s="10">
        <f t="shared" si="661"/>
        <v>0</v>
      </c>
      <c r="AC556" s="10">
        <f t="shared" si="662"/>
        <v>0</v>
      </c>
      <c r="AD556" s="10">
        <f t="shared" si="663"/>
        <v>0</v>
      </c>
      <c r="AE556" s="10">
        <f t="shared" si="664"/>
        <v>0</v>
      </c>
      <c r="AF556" s="10">
        <f t="shared" si="665"/>
        <v>0</v>
      </c>
      <c r="AG556" s="10">
        <f t="shared" si="666"/>
        <v>0</v>
      </c>
      <c r="AH556" s="10">
        <f t="shared" si="667"/>
        <v>0</v>
      </c>
      <c r="AI556" s="10">
        <f t="shared" si="668"/>
        <v>0</v>
      </c>
      <c r="AJ556" s="10">
        <f t="shared" si="669"/>
        <v>0</v>
      </c>
      <c r="AK556" s="10">
        <f t="shared" si="670"/>
        <v>0</v>
      </c>
      <c r="AL556" s="10">
        <f t="shared" si="671"/>
        <v>0</v>
      </c>
      <c r="AM556" s="10">
        <f t="shared" si="672"/>
        <v>0</v>
      </c>
      <c r="AN556" s="46">
        <f t="shared" si="673"/>
        <v>0</v>
      </c>
      <c r="AO556" s="10">
        <f t="shared" si="674"/>
        <v>0</v>
      </c>
      <c r="AP556" s="10">
        <f t="shared" si="675"/>
        <v>0</v>
      </c>
      <c r="AQ556" s="10">
        <f t="shared" si="676"/>
        <v>0</v>
      </c>
      <c r="AR556" s="10">
        <f t="shared" si="677"/>
        <v>0</v>
      </c>
      <c r="AS556" s="10">
        <f t="shared" si="678"/>
        <v>0</v>
      </c>
      <c r="AT556" s="10">
        <f t="shared" si="679"/>
        <v>0</v>
      </c>
      <c r="AU556" s="10">
        <f t="shared" si="680"/>
        <v>0</v>
      </c>
      <c r="AV556" s="10">
        <f t="shared" si="681"/>
        <v>0</v>
      </c>
      <c r="AW556" s="10">
        <f t="shared" si="682"/>
        <v>0</v>
      </c>
      <c r="AX556" s="10">
        <f t="shared" si="683"/>
        <v>0</v>
      </c>
    </row>
    <row r="557" spans="1:50" x14ac:dyDescent="0.2">
      <c r="A557" s="8">
        <v>12390</v>
      </c>
      <c r="B557" s="89" t="str">
        <f t="shared" si="635"/>
        <v>Dubbo Regional</v>
      </c>
      <c r="C557" s="9" t="str">
        <f t="shared" si="636"/>
        <v>NetWaste</v>
      </c>
      <c r="D557" s="51" t="str">
        <f t="shared" si="637"/>
        <v>N</v>
      </c>
      <c r="E557" s="10">
        <f t="shared" si="638"/>
        <v>0</v>
      </c>
      <c r="F557" s="10">
        <f t="shared" si="639"/>
        <v>54044</v>
      </c>
      <c r="G557" s="10">
        <f t="shared" si="640"/>
        <v>23000</v>
      </c>
      <c r="H557" s="10">
        <f t="shared" si="641"/>
        <v>2.3497391304347826</v>
      </c>
      <c r="I557" s="10">
        <f t="shared" si="642"/>
        <v>7534.5</v>
      </c>
      <c r="J557" s="10">
        <f t="shared" si="643"/>
        <v>7.2</v>
      </c>
      <c r="K557" s="10">
        <f t="shared" si="644"/>
        <v>399.1</v>
      </c>
      <c r="L557" s="10" t="str">
        <f t="shared" si="645"/>
        <v>Y</v>
      </c>
      <c r="M557" s="10">
        <f t="shared" si="646"/>
        <v>18988</v>
      </c>
      <c r="N557" s="10">
        <f t="shared" si="647"/>
        <v>18988</v>
      </c>
      <c r="O557" s="10">
        <f t="shared" si="648"/>
        <v>0</v>
      </c>
      <c r="P557" s="10">
        <f t="shared" si="649"/>
        <v>15568</v>
      </c>
      <c r="Q557" s="10">
        <f t="shared" si="650"/>
        <v>23000</v>
      </c>
      <c r="R557" s="10" t="str">
        <f t="shared" si="651"/>
        <v>Yes</v>
      </c>
      <c r="S557" s="10">
        <f t="shared" si="652"/>
        <v>0</v>
      </c>
      <c r="T557" s="10">
        <f t="shared" si="653"/>
        <v>0</v>
      </c>
      <c r="U557" s="10">
        <f t="shared" si="654"/>
        <v>0</v>
      </c>
      <c r="V557" s="10">
        <f t="shared" si="655"/>
        <v>0</v>
      </c>
      <c r="W557" s="10">
        <f t="shared" si="656"/>
        <v>0</v>
      </c>
      <c r="X557" s="10">
        <f t="shared" si="657"/>
        <v>0</v>
      </c>
      <c r="Y557" s="10">
        <f t="shared" si="658"/>
        <v>0</v>
      </c>
      <c r="Z557" s="10">
        <f t="shared" si="659"/>
        <v>0</v>
      </c>
      <c r="AA557" s="10">
        <f t="shared" si="660"/>
        <v>0</v>
      </c>
      <c r="AB557" s="10">
        <f t="shared" si="661"/>
        <v>0</v>
      </c>
      <c r="AC557" s="10">
        <f t="shared" si="662"/>
        <v>0</v>
      </c>
      <c r="AD557" s="10">
        <f t="shared" si="663"/>
        <v>0</v>
      </c>
      <c r="AE557" s="10">
        <f t="shared" si="664"/>
        <v>0</v>
      </c>
      <c r="AF557" s="10">
        <f t="shared" si="665"/>
        <v>0</v>
      </c>
      <c r="AG557" s="10">
        <f t="shared" si="666"/>
        <v>0</v>
      </c>
      <c r="AH557" s="10">
        <f t="shared" si="667"/>
        <v>0</v>
      </c>
      <c r="AI557" s="10">
        <f t="shared" si="668"/>
        <v>0</v>
      </c>
      <c r="AJ557" s="10">
        <f t="shared" si="669"/>
        <v>0</v>
      </c>
      <c r="AK557" s="10">
        <f t="shared" si="670"/>
        <v>0</v>
      </c>
      <c r="AL557" s="10">
        <f t="shared" si="671"/>
        <v>0</v>
      </c>
      <c r="AM557" s="10">
        <f t="shared" si="672"/>
        <v>0</v>
      </c>
      <c r="AN557" s="46">
        <f t="shared" si="673"/>
        <v>0</v>
      </c>
      <c r="AO557" s="10">
        <f t="shared" si="674"/>
        <v>0</v>
      </c>
      <c r="AP557" s="10">
        <f t="shared" si="675"/>
        <v>0</v>
      </c>
      <c r="AQ557" s="10">
        <f t="shared" si="676"/>
        <v>0</v>
      </c>
      <c r="AR557" s="10">
        <f t="shared" si="677"/>
        <v>0</v>
      </c>
      <c r="AS557" s="10">
        <f t="shared" si="678"/>
        <v>0</v>
      </c>
      <c r="AT557" s="10">
        <f t="shared" si="679"/>
        <v>0</v>
      </c>
      <c r="AU557" s="10">
        <f t="shared" si="680"/>
        <v>0</v>
      </c>
      <c r="AV557" s="10">
        <f t="shared" si="681"/>
        <v>0</v>
      </c>
      <c r="AW557" s="10">
        <f t="shared" si="682"/>
        <v>0</v>
      </c>
      <c r="AX557" s="10">
        <f t="shared" si="683"/>
        <v>0</v>
      </c>
    </row>
    <row r="558" spans="1:50" x14ac:dyDescent="0.2">
      <c r="A558" s="8">
        <v>12900</v>
      </c>
      <c r="B558" s="89" t="str">
        <f t="shared" si="635"/>
        <v>Forbes</v>
      </c>
      <c r="C558" s="9" t="str">
        <f t="shared" si="636"/>
        <v>NetWaste</v>
      </c>
      <c r="D558" s="51" t="str">
        <f t="shared" si="637"/>
        <v>N</v>
      </c>
      <c r="E558" s="10" t="str">
        <f t="shared" si="638"/>
        <v>CNJO</v>
      </c>
      <c r="F558" s="10">
        <f t="shared" si="639"/>
        <v>9920</v>
      </c>
      <c r="G558" s="10">
        <f t="shared" si="640"/>
        <v>4248</v>
      </c>
      <c r="H558" s="10">
        <f t="shared" si="641"/>
        <v>2.335216572504708</v>
      </c>
      <c r="I558" s="10">
        <f t="shared" si="642"/>
        <v>4710.1000000000004</v>
      </c>
      <c r="J558" s="10">
        <f t="shared" si="643"/>
        <v>2.1</v>
      </c>
      <c r="K558" s="10">
        <f t="shared" si="644"/>
        <v>534</v>
      </c>
      <c r="L558" s="10" t="str">
        <f t="shared" si="645"/>
        <v>Y</v>
      </c>
      <c r="M558" s="10">
        <f t="shared" si="646"/>
        <v>3353</v>
      </c>
      <c r="N558" s="10">
        <f t="shared" si="647"/>
        <v>3254</v>
      </c>
      <c r="O558" s="10">
        <f t="shared" si="648"/>
        <v>0</v>
      </c>
      <c r="P558" s="10">
        <f t="shared" si="649"/>
        <v>3295</v>
      </c>
      <c r="Q558" s="10">
        <f t="shared" si="650"/>
        <v>4248</v>
      </c>
      <c r="R558" s="10" t="str">
        <f t="shared" si="651"/>
        <v>Yes</v>
      </c>
      <c r="S558" s="10" t="str">
        <f t="shared" si="652"/>
        <v>Daroobalgie Waste Management Facility</v>
      </c>
      <c r="T558" s="10" t="str">
        <f t="shared" si="653"/>
        <v>Bedgerabong Landfill</v>
      </c>
      <c r="U558" s="10" t="str">
        <f t="shared" si="654"/>
        <v>Garema Landfill</v>
      </c>
      <c r="V558" s="10" t="str">
        <f t="shared" si="655"/>
        <v>Ootha Landfill</v>
      </c>
      <c r="W558" s="10">
        <f t="shared" si="656"/>
        <v>0</v>
      </c>
      <c r="X558" s="10">
        <f t="shared" si="657"/>
        <v>0</v>
      </c>
      <c r="Y558" s="10">
        <f t="shared" si="658"/>
        <v>0</v>
      </c>
      <c r="Z558" s="10">
        <f t="shared" si="659"/>
        <v>0</v>
      </c>
      <c r="AA558" s="10">
        <f t="shared" si="660"/>
        <v>0</v>
      </c>
      <c r="AB558" s="10">
        <f t="shared" si="661"/>
        <v>0</v>
      </c>
      <c r="AC558" s="10">
        <f t="shared" si="662"/>
        <v>0</v>
      </c>
      <c r="AD558" s="10">
        <f t="shared" si="663"/>
        <v>0</v>
      </c>
      <c r="AE558" s="10">
        <f t="shared" si="664"/>
        <v>0</v>
      </c>
      <c r="AF558" s="10">
        <f t="shared" si="665"/>
        <v>0</v>
      </c>
      <c r="AG558" s="10">
        <f t="shared" si="666"/>
        <v>0</v>
      </c>
      <c r="AH558" s="10">
        <f t="shared" si="667"/>
        <v>0</v>
      </c>
      <c r="AI558" s="10">
        <f t="shared" si="668"/>
        <v>0</v>
      </c>
      <c r="AJ558" s="10">
        <f t="shared" si="669"/>
        <v>0</v>
      </c>
      <c r="AK558" s="10">
        <f t="shared" si="670"/>
        <v>0</v>
      </c>
      <c r="AL558" s="10">
        <f t="shared" si="671"/>
        <v>0</v>
      </c>
      <c r="AM558" s="10">
        <f t="shared" si="672"/>
        <v>0</v>
      </c>
      <c r="AN558" s="46">
        <f t="shared" si="673"/>
        <v>0</v>
      </c>
      <c r="AO558" s="10">
        <f t="shared" si="674"/>
        <v>0</v>
      </c>
      <c r="AP558" s="10">
        <f t="shared" si="675"/>
        <v>0</v>
      </c>
      <c r="AQ558" s="10">
        <f t="shared" si="676"/>
        <v>0</v>
      </c>
      <c r="AR558" s="10">
        <f t="shared" si="677"/>
        <v>0</v>
      </c>
      <c r="AS558" s="10">
        <f t="shared" si="678"/>
        <v>0</v>
      </c>
      <c r="AT558" s="10">
        <f t="shared" si="679"/>
        <v>0</v>
      </c>
      <c r="AU558" s="10">
        <f t="shared" si="680"/>
        <v>0</v>
      </c>
      <c r="AV558" s="10">
        <f t="shared" si="681"/>
        <v>0</v>
      </c>
      <c r="AW558" s="10">
        <f t="shared" si="682"/>
        <v>0</v>
      </c>
      <c r="AX558" s="10">
        <f t="shared" si="683"/>
        <v>0</v>
      </c>
    </row>
    <row r="559" spans="1:50" x14ac:dyDescent="0.2">
      <c r="A559" s="8">
        <v>12950</v>
      </c>
      <c r="B559" s="89" t="str">
        <f t="shared" si="635"/>
        <v>Gilgandra</v>
      </c>
      <c r="C559" s="9" t="str">
        <f t="shared" si="636"/>
        <v>NetWaste</v>
      </c>
      <c r="D559" s="51" t="str">
        <f t="shared" si="637"/>
        <v>N</v>
      </c>
      <c r="E559" s="10" t="str">
        <f t="shared" si="638"/>
        <v>OJO</v>
      </c>
      <c r="F559" s="10">
        <f t="shared" si="639"/>
        <v>4229</v>
      </c>
      <c r="G559" s="10">
        <f t="shared" si="640"/>
        <v>2415</v>
      </c>
      <c r="H559" s="10">
        <f t="shared" si="641"/>
        <v>1.7511387163561076</v>
      </c>
      <c r="I559" s="10">
        <f t="shared" si="642"/>
        <v>4831.5</v>
      </c>
      <c r="J559" s="10">
        <f t="shared" si="643"/>
        <v>0.9</v>
      </c>
      <c r="K559" s="10">
        <f t="shared" si="644"/>
        <v>441</v>
      </c>
      <c r="L559" s="10" t="str">
        <f t="shared" si="645"/>
        <v>Y</v>
      </c>
      <c r="M559" s="10">
        <f t="shared" si="646"/>
        <v>1124</v>
      </c>
      <c r="N559" s="10">
        <f t="shared" si="647"/>
        <v>1144</v>
      </c>
      <c r="O559" s="10">
        <f t="shared" si="648"/>
        <v>0</v>
      </c>
      <c r="P559" s="10">
        <f t="shared" si="649"/>
        <v>0</v>
      </c>
      <c r="Q559" s="10">
        <f t="shared" si="650"/>
        <v>0</v>
      </c>
      <c r="R559" s="10" t="str">
        <f t="shared" si="651"/>
        <v>Yes</v>
      </c>
      <c r="S559" s="10" t="str">
        <f t="shared" si="652"/>
        <v>Gilgandra Community Recycling Centre Lot 100 Pines Drive Gilgandra NSW 2827</v>
      </c>
      <c r="T559" s="10">
        <f t="shared" si="653"/>
        <v>0</v>
      </c>
      <c r="U559" s="10">
        <f t="shared" si="654"/>
        <v>0</v>
      </c>
      <c r="V559" s="10">
        <f t="shared" si="655"/>
        <v>0</v>
      </c>
      <c r="W559" s="10">
        <f t="shared" si="656"/>
        <v>0</v>
      </c>
      <c r="X559" s="10">
        <f t="shared" si="657"/>
        <v>0</v>
      </c>
      <c r="Y559" s="10">
        <f t="shared" si="658"/>
        <v>0</v>
      </c>
      <c r="Z559" s="10">
        <f t="shared" si="659"/>
        <v>0</v>
      </c>
      <c r="AA559" s="10">
        <f t="shared" si="660"/>
        <v>0</v>
      </c>
      <c r="AB559" s="10">
        <f t="shared" si="661"/>
        <v>0</v>
      </c>
      <c r="AC559" s="10">
        <f t="shared" si="662"/>
        <v>0</v>
      </c>
      <c r="AD559" s="10">
        <f t="shared" si="663"/>
        <v>0</v>
      </c>
      <c r="AE559" s="10">
        <f t="shared" si="664"/>
        <v>0</v>
      </c>
      <c r="AF559" s="10">
        <f t="shared" si="665"/>
        <v>0</v>
      </c>
      <c r="AG559" s="10">
        <f t="shared" si="666"/>
        <v>0</v>
      </c>
      <c r="AH559" s="10">
        <f t="shared" si="667"/>
        <v>0</v>
      </c>
      <c r="AI559" s="10">
        <f t="shared" si="668"/>
        <v>0</v>
      </c>
      <c r="AJ559" s="10">
        <f t="shared" si="669"/>
        <v>0</v>
      </c>
      <c r="AK559" s="10">
        <f t="shared" si="670"/>
        <v>0</v>
      </c>
      <c r="AL559" s="10">
        <f t="shared" si="671"/>
        <v>0</v>
      </c>
      <c r="AM559" s="10">
        <f t="shared" si="672"/>
        <v>0</v>
      </c>
      <c r="AN559" s="46">
        <f t="shared" si="673"/>
        <v>0</v>
      </c>
      <c r="AO559" s="10">
        <f t="shared" si="674"/>
        <v>0</v>
      </c>
      <c r="AP559" s="10">
        <f t="shared" si="675"/>
        <v>0</v>
      </c>
      <c r="AQ559" s="10">
        <f t="shared" si="676"/>
        <v>0</v>
      </c>
      <c r="AR559" s="10">
        <f t="shared" si="677"/>
        <v>0</v>
      </c>
      <c r="AS559" s="10">
        <f t="shared" si="678"/>
        <v>0</v>
      </c>
      <c r="AT559" s="10">
        <f t="shared" si="679"/>
        <v>0</v>
      </c>
      <c r="AU559" s="10">
        <f t="shared" si="680"/>
        <v>0</v>
      </c>
      <c r="AV559" s="10">
        <f t="shared" si="681"/>
        <v>0</v>
      </c>
      <c r="AW559" s="10">
        <f t="shared" si="682"/>
        <v>0</v>
      </c>
      <c r="AX559" s="10">
        <f t="shared" si="683"/>
        <v>0</v>
      </c>
    </row>
    <row r="560" spans="1:50" x14ac:dyDescent="0.2">
      <c r="A560" s="8">
        <v>14600</v>
      </c>
      <c r="B560" s="89" t="str">
        <f t="shared" si="635"/>
        <v>Lachlan</v>
      </c>
      <c r="C560" s="9" t="str">
        <f t="shared" si="636"/>
        <v>NetWaste</v>
      </c>
      <c r="D560" s="51" t="str">
        <f t="shared" si="637"/>
        <v>N</v>
      </c>
      <c r="E560" s="10" t="str">
        <f t="shared" si="638"/>
        <v>CNJO</v>
      </c>
      <c r="F560" s="10">
        <f t="shared" si="639"/>
        <v>6089</v>
      </c>
      <c r="G560" s="10">
        <f t="shared" si="640"/>
        <v>4260</v>
      </c>
      <c r="H560" s="10">
        <f t="shared" si="641"/>
        <v>1.4293427230046949</v>
      </c>
      <c r="I560" s="10">
        <f t="shared" si="642"/>
        <v>14968.3</v>
      </c>
      <c r="J560" s="10">
        <f t="shared" si="643"/>
        <v>0.4</v>
      </c>
      <c r="K560" s="10">
        <f t="shared" si="644"/>
        <v>551</v>
      </c>
      <c r="L560" s="10" t="str">
        <f t="shared" si="645"/>
        <v>Y</v>
      </c>
      <c r="M560" s="10">
        <f t="shared" si="646"/>
        <v>2064</v>
      </c>
      <c r="N560" s="10">
        <f t="shared" si="647"/>
        <v>2057</v>
      </c>
      <c r="O560" s="10">
        <f t="shared" si="648"/>
        <v>1293</v>
      </c>
      <c r="P560" s="10">
        <f t="shared" si="649"/>
        <v>0</v>
      </c>
      <c r="Q560" s="10">
        <f t="shared" si="650"/>
        <v>0</v>
      </c>
      <c r="R560" s="10" t="str">
        <f t="shared" si="651"/>
        <v>No</v>
      </c>
      <c r="S560" s="10" t="str">
        <f t="shared" si="652"/>
        <v xml:space="preserve">Condobolin - 55 Boona Road Condobolin </v>
      </c>
      <c r="T560" s="10" t="str">
        <f t="shared" si="653"/>
        <v>Lake Cargelligo - Ubba Street Condobolin</v>
      </c>
      <c r="U560" s="10" t="str">
        <f t="shared" si="654"/>
        <v>Burcher - Burcher Road</v>
      </c>
      <c r="V560" s="10" t="str">
        <f t="shared" si="655"/>
        <v xml:space="preserve">Tottenham - Tottenham Tip Road </v>
      </c>
      <c r="W560" s="10" t="str">
        <f t="shared" si="656"/>
        <v xml:space="preserve">Tullibigeal - Tullibigeal Road </v>
      </c>
      <c r="X560" s="10">
        <f t="shared" si="657"/>
        <v>0</v>
      </c>
      <c r="Y560" s="10">
        <f t="shared" si="658"/>
        <v>0</v>
      </c>
      <c r="Z560" s="10">
        <f t="shared" si="659"/>
        <v>0</v>
      </c>
      <c r="AA560" s="10">
        <f t="shared" si="660"/>
        <v>0</v>
      </c>
      <c r="AB560" s="10">
        <f t="shared" si="661"/>
        <v>0</v>
      </c>
      <c r="AC560" s="10">
        <f t="shared" si="662"/>
        <v>0</v>
      </c>
      <c r="AD560" s="10">
        <f t="shared" si="663"/>
        <v>0</v>
      </c>
      <c r="AE560" s="10">
        <f t="shared" si="664"/>
        <v>0</v>
      </c>
      <c r="AF560" s="10">
        <f t="shared" si="665"/>
        <v>0</v>
      </c>
      <c r="AG560" s="10">
        <f t="shared" si="666"/>
        <v>0</v>
      </c>
      <c r="AH560" s="10">
        <f t="shared" si="667"/>
        <v>0</v>
      </c>
      <c r="AI560" s="10">
        <f t="shared" si="668"/>
        <v>0</v>
      </c>
      <c r="AJ560" s="10">
        <f t="shared" si="669"/>
        <v>0</v>
      </c>
      <c r="AK560" s="10">
        <f t="shared" si="670"/>
        <v>0</v>
      </c>
      <c r="AL560" s="10">
        <f t="shared" si="671"/>
        <v>0</v>
      </c>
      <c r="AM560" s="10">
        <f t="shared" si="672"/>
        <v>0</v>
      </c>
      <c r="AN560" s="46">
        <f t="shared" si="673"/>
        <v>0</v>
      </c>
      <c r="AO560" s="10">
        <f t="shared" si="674"/>
        <v>0</v>
      </c>
      <c r="AP560" s="10">
        <f t="shared" si="675"/>
        <v>0</v>
      </c>
      <c r="AQ560" s="10">
        <f t="shared" si="676"/>
        <v>0</v>
      </c>
      <c r="AR560" s="10">
        <f t="shared" si="677"/>
        <v>0</v>
      </c>
      <c r="AS560" s="10">
        <f t="shared" si="678"/>
        <v>0</v>
      </c>
      <c r="AT560" s="10">
        <f t="shared" si="679"/>
        <v>0</v>
      </c>
      <c r="AU560" s="10">
        <f t="shared" si="680"/>
        <v>0</v>
      </c>
      <c r="AV560" s="10">
        <f t="shared" si="681"/>
        <v>0</v>
      </c>
      <c r="AW560" s="10">
        <f t="shared" si="682"/>
        <v>0</v>
      </c>
      <c r="AX560" s="10">
        <f t="shared" si="683"/>
        <v>0</v>
      </c>
    </row>
    <row r="561" spans="1:50" x14ac:dyDescent="0.2">
      <c r="A561" s="8">
        <v>14870</v>
      </c>
      <c r="B561" s="89" t="str">
        <f t="shared" si="635"/>
        <v>Lithgow</v>
      </c>
      <c r="C561" s="9" t="str">
        <f t="shared" si="636"/>
        <v>NetWaste</v>
      </c>
      <c r="D561" s="51" t="str">
        <f t="shared" si="637"/>
        <v>N</v>
      </c>
      <c r="E561" s="10">
        <f t="shared" si="638"/>
        <v>0</v>
      </c>
      <c r="F561" s="10">
        <f t="shared" si="639"/>
        <v>21516</v>
      </c>
      <c r="G561" s="10">
        <f t="shared" si="640"/>
        <v>11568</v>
      </c>
      <c r="H561" s="10">
        <f t="shared" si="641"/>
        <v>1.8599585062240664</v>
      </c>
      <c r="I561" s="10">
        <f t="shared" si="642"/>
        <v>4512.3</v>
      </c>
      <c r="J561" s="10">
        <f t="shared" si="643"/>
        <v>4.8</v>
      </c>
      <c r="K561" s="10">
        <f t="shared" si="644"/>
        <v>459.81</v>
      </c>
      <c r="L561" s="10" t="str">
        <f t="shared" si="645"/>
        <v>Y</v>
      </c>
      <c r="M561" s="10">
        <f t="shared" si="646"/>
        <v>8795</v>
      </c>
      <c r="N561" s="10">
        <f t="shared" si="647"/>
        <v>8760</v>
      </c>
      <c r="O561" s="10">
        <f t="shared" si="648"/>
        <v>0</v>
      </c>
      <c r="P561" s="10">
        <f t="shared" si="649"/>
        <v>0</v>
      </c>
      <c r="Q561" s="10">
        <f t="shared" si="650"/>
        <v>11568</v>
      </c>
      <c r="R561" s="10" t="str">
        <f t="shared" si="651"/>
        <v>Yes</v>
      </c>
      <c r="S561" s="10" t="str">
        <f t="shared" si="652"/>
        <v>Lithgow, 62 Geordie Street Lithgow</v>
      </c>
      <c r="T561" s="10" t="str">
        <f t="shared" si="653"/>
        <v>Portland, Portland Cullen Bullen Road Portland</v>
      </c>
      <c r="U561" s="10" t="str">
        <f t="shared" si="654"/>
        <v>Wallerawang, Pipers Flat Road Wallerawang</v>
      </c>
      <c r="V561" s="10" t="str">
        <f t="shared" si="655"/>
        <v>Capertee, Hearne Street Capertee</v>
      </c>
      <c r="W561" s="10">
        <f t="shared" si="656"/>
        <v>0</v>
      </c>
      <c r="X561" s="10">
        <f t="shared" si="657"/>
        <v>0</v>
      </c>
      <c r="Y561" s="10">
        <f t="shared" si="658"/>
        <v>0</v>
      </c>
      <c r="Z561" s="10">
        <f t="shared" si="659"/>
        <v>0</v>
      </c>
      <c r="AA561" s="10">
        <f t="shared" si="660"/>
        <v>0</v>
      </c>
      <c r="AB561" s="10">
        <f t="shared" si="661"/>
        <v>0</v>
      </c>
      <c r="AC561" s="10">
        <f t="shared" si="662"/>
        <v>0</v>
      </c>
      <c r="AD561" s="10">
        <f t="shared" si="663"/>
        <v>0</v>
      </c>
      <c r="AE561" s="10">
        <f t="shared" si="664"/>
        <v>0</v>
      </c>
      <c r="AF561" s="10">
        <f t="shared" si="665"/>
        <v>0</v>
      </c>
      <c r="AG561" s="10">
        <f t="shared" si="666"/>
        <v>0</v>
      </c>
      <c r="AH561" s="10">
        <f t="shared" si="667"/>
        <v>0</v>
      </c>
      <c r="AI561" s="10">
        <f t="shared" si="668"/>
        <v>0</v>
      </c>
      <c r="AJ561" s="10">
        <f t="shared" si="669"/>
        <v>0</v>
      </c>
      <c r="AK561" s="10">
        <f t="shared" si="670"/>
        <v>0</v>
      </c>
      <c r="AL561" s="10">
        <f t="shared" si="671"/>
        <v>0</v>
      </c>
      <c r="AM561" s="10">
        <f t="shared" si="672"/>
        <v>0</v>
      </c>
      <c r="AN561" s="46">
        <f t="shared" si="673"/>
        <v>0</v>
      </c>
      <c r="AO561" s="10">
        <f t="shared" si="674"/>
        <v>0</v>
      </c>
      <c r="AP561" s="10">
        <f t="shared" si="675"/>
        <v>0</v>
      </c>
      <c r="AQ561" s="10">
        <f t="shared" si="676"/>
        <v>0</v>
      </c>
      <c r="AR561" s="10">
        <f t="shared" si="677"/>
        <v>0</v>
      </c>
      <c r="AS561" s="10">
        <f t="shared" si="678"/>
        <v>0</v>
      </c>
      <c r="AT561" s="10">
        <f t="shared" si="679"/>
        <v>0</v>
      </c>
      <c r="AU561" s="10">
        <f t="shared" si="680"/>
        <v>0</v>
      </c>
      <c r="AV561" s="10">
        <f t="shared" si="681"/>
        <v>0</v>
      </c>
      <c r="AW561" s="10">
        <f t="shared" si="682"/>
        <v>0</v>
      </c>
      <c r="AX561" s="10">
        <f t="shared" si="683"/>
        <v>0</v>
      </c>
    </row>
    <row r="562" spans="1:50" x14ac:dyDescent="0.2">
      <c r="A562" s="8">
        <v>15270</v>
      </c>
      <c r="B562" s="89" t="str">
        <f t="shared" si="635"/>
        <v>Mid-Western Regional</v>
      </c>
      <c r="C562" s="9" t="str">
        <f t="shared" si="636"/>
        <v>NetWaste</v>
      </c>
      <c r="D562" s="51" t="str">
        <f t="shared" si="637"/>
        <v>N</v>
      </c>
      <c r="E562" s="10" t="str">
        <f t="shared" si="638"/>
        <v>OJO</v>
      </c>
      <c r="F562" s="10">
        <f t="shared" si="639"/>
        <v>25367</v>
      </c>
      <c r="G562" s="10">
        <f t="shared" si="640"/>
        <v>15594</v>
      </c>
      <c r="H562" s="10">
        <f t="shared" si="641"/>
        <v>1.6267154033602669</v>
      </c>
      <c r="I562" s="10">
        <f t="shared" si="642"/>
        <v>8752.2999999999993</v>
      </c>
      <c r="J562" s="10">
        <f t="shared" si="643"/>
        <v>2.9</v>
      </c>
      <c r="K562" s="10">
        <f t="shared" si="644"/>
        <v>297</v>
      </c>
      <c r="L562" s="10" t="str">
        <f t="shared" si="645"/>
        <v>Y</v>
      </c>
      <c r="M562" s="10">
        <f t="shared" si="646"/>
        <v>8048</v>
      </c>
      <c r="N562" s="10">
        <f t="shared" si="647"/>
        <v>8048</v>
      </c>
      <c r="O562" s="10">
        <f t="shared" si="648"/>
        <v>0</v>
      </c>
      <c r="P562" s="10">
        <f t="shared" si="649"/>
        <v>8048</v>
      </c>
      <c r="Q562" s="10">
        <f t="shared" si="650"/>
        <v>0</v>
      </c>
      <c r="R562" s="10" t="str">
        <f t="shared" si="651"/>
        <v>Yes</v>
      </c>
      <c r="S562" s="10" t="str">
        <f t="shared" si="652"/>
        <v>Mudgee Waste Facility 31 Blain Road, Caerleon,</v>
      </c>
      <c r="T562" s="10" t="str">
        <f t="shared" si="653"/>
        <v>Kandos Waste Transfer Station 110 Kandos Tip Road, Kandos</v>
      </c>
      <c r="U562" s="10" t="str">
        <f t="shared" si="654"/>
        <v>Rural Waste Transfer Stations x13</v>
      </c>
      <c r="V562" s="10">
        <f t="shared" si="655"/>
        <v>0</v>
      </c>
      <c r="W562" s="10">
        <f t="shared" si="656"/>
        <v>0</v>
      </c>
      <c r="X562" s="10">
        <f t="shared" si="657"/>
        <v>0</v>
      </c>
      <c r="Y562" s="10">
        <f t="shared" si="658"/>
        <v>0</v>
      </c>
      <c r="Z562" s="10">
        <f t="shared" si="659"/>
        <v>0</v>
      </c>
      <c r="AA562" s="10">
        <f t="shared" si="660"/>
        <v>0</v>
      </c>
      <c r="AB562" s="10">
        <f t="shared" si="661"/>
        <v>0</v>
      </c>
      <c r="AC562" s="10">
        <f t="shared" si="662"/>
        <v>0</v>
      </c>
      <c r="AD562" s="10">
        <f t="shared" si="663"/>
        <v>0</v>
      </c>
      <c r="AE562" s="10">
        <f t="shared" si="664"/>
        <v>0</v>
      </c>
      <c r="AF562" s="10">
        <f t="shared" si="665"/>
        <v>0</v>
      </c>
      <c r="AG562" s="10">
        <f t="shared" si="666"/>
        <v>0</v>
      </c>
      <c r="AH562" s="10">
        <f t="shared" si="667"/>
        <v>0</v>
      </c>
      <c r="AI562" s="10">
        <f t="shared" si="668"/>
        <v>0</v>
      </c>
      <c r="AJ562" s="10">
        <f t="shared" si="669"/>
        <v>0</v>
      </c>
      <c r="AK562" s="10">
        <f t="shared" si="670"/>
        <v>0</v>
      </c>
      <c r="AL562" s="10">
        <f t="shared" si="671"/>
        <v>0</v>
      </c>
      <c r="AM562" s="10">
        <f t="shared" si="672"/>
        <v>0</v>
      </c>
      <c r="AN562" s="46">
        <f t="shared" si="673"/>
        <v>0</v>
      </c>
      <c r="AO562" s="10">
        <f t="shared" si="674"/>
        <v>0</v>
      </c>
      <c r="AP562" s="10">
        <f t="shared" si="675"/>
        <v>0</v>
      </c>
      <c r="AQ562" s="10">
        <f t="shared" si="676"/>
        <v>0</v>
      </c>
      <c r="AR562" s="10">
        <f t="shared" si="677"/>
        <v>0</v>
      </c>
      <c r="AS562" s="10">
        <f t="shared" si="678"/>
        <v>0</v>
      </c>
      <c r="AT562" s="10">
        <f t="shared" si="679"/>
        <v>0</v>
      </c>
      <c r="AU562" s="10">
        <f t="shared" si="680"/>
        <v>0</v>
      </c>
      <c r="AV562" s="10">
        <f t="shared" si="681"/>
        <v>0</v>
      </c>
      <c r="AW562" s="10">
        <f t="shared" si="682"/>
        <v>0</v>
      </c>
      <c r="AX562" s="10">
        <f t="shared" si="683"/>
        <v>0</v>
      </c>
    </row>
    <row r="563" spans="1:50" x14ac:dyDescent="0.2">
      <c r="A563" s="8">
        <v>15850</v>
      </c>
      <c r="B563" s="89" t="str">
        <f t="shared" si="635"/>
        <v>Narromine</v>
      </c>
      <c r="C563" s="9" t="str">
        <f t="shared" si="636"/>
        <v>NetWaste</v>
      </c>
      <c r="D563" s="51" t="str">
        <f t="shared" si="637"/>
        <v>N</v>
      </c>
      <c r="E563" s="10" t="str">
        <f t="shared" si="638"/>
        <v>OJO</v>
      </c>
      <c r="F563" s="10">
        <f t="shared" si="639"/>
        <v>6460</v>
      </c>
      <c r="G563" s="10">
        <f t="shared" si="640"/>
        <v>3363</v>
      </c>
      <c r="H563" s="10">
        <f t="shared" si="641"/>
        <v>1.9209039548022599</v>
      </c>
      <c r="I563" s="10">
        <f t="shared" si="642"/>
        <v>5261.5</v>
      </c>
      <c r="J563" s="10">
        <f t="shared" si="643"/>
        <v>1.2</v>
      </c>
      <c r="K563" s="10">
        <f t="shared" si="644"/>
        <v>584</v>
      </c>
      <c r="L563" s="10" t="str">
        <f t="shared" si="645"/>
        <v>Y</v>
      </c>
      <c r="M563" s="10">
        <f t="shared" si="646"/>
        <v>2049</v>
      </c>
      <c r="N563" s="10">
        <f t="shared" si="647"/>
        <v>1935</v>
      </c>
      <c r="O563" s="10">
        <f t="shared" si="648"/>
        <v>0</v>
      </c>
      <c r="P563" s="10">
        <f t="shared" si="649"/>
        <v>1935</v>
      </c>
      <c r="Q563" s="10">
        <f t="shared" si="650"/>
        <v>3363</v>
      </c>
      <c r="R563" s="10" t="str">
        <f t="shared" si="651"/>
        <v>No</v>
      </c>
      <c r="S563" s="10">
        <f t="shared" si="652"/>
        <v>0</v>
      </c>
      <c r="T563" s="10">
        <f t="shared" si="653"/>
        <v>0</v>
      </c>
      <c r="U563" s="10">
        <f t="shared" si="654"/>
        <v>0</v>
      </c>
      <c r="V563" s="10">
        <f t="shared" si="655"/>
        <v>0</v>
      </c>
      <c r="W563" s="10">
        <f t="shared" si="656"/>
        <v>0</v>
      </c>
      <c r="X563" s="10">
        <f t="shared" si="657"/>
        <v>0</v>
      </c>
      <c r="Y563" s="10">
        <f t="shared" si="658"/>
        <v>0</v>
      </c>
      <c r="Z563" s="10">
        <f t="shared" si="659"/>
        <v>0</v>
      </c>
      <c r="AA563" s="10">
        <f t="shared" si="660"/>
        <v>0</v>
      </c>
      <c r="AB563" s="10">
        <f t="shared" si="661"/>
        <v>0</v>
      </c>
      <c r="AC563" s="10">
        <f t="shared" si="662"/>
        <v>0</v>
      </c>
      <c r="AD563" s="10">
        <f t="shared" si="663"/>
        <v>0</v>
      </c>
      <c r="AE563" s="10">
        <f t="shared" si="664"/>
        <v>0</v>
      </c>
      <c r="AF563" s="10">
        <f t="shared" si="665"/>
        <v>0</v>
      </c>
      <c r="AG563" s="10">
        <f t="shared" si="666"/>
        <v>0</v>
      </c>
      <c r="AH563" s="10">
        <f t="shared" si="667"/>
        <v>0</v>
      </c>
      <c r="AI563" s="10">
        <f t="shared" si="668"/>
        <v>0</v>
      </c>
      <c r="AJ563" s="10">
        <f t="shared" si="669"/>
        <v>0</v>
      </c>
      <c r="AK563" s="10">
        <f t="shared" si="670"/>
        <v>0</v>
      </c>
      <c r="AL563" s="10">
        <f t="shared" si="671"/>
        <v>0</v>
      </c>
      <c r="AM563" s="10">
        <f t="shared" si="672"/>
        <v>0</v>
      </c>
      <c r="AN563" s="46">
        <f t="shared" si="673"/>
        <v>0</v>
      </c>
      <c r="AO563" s="10">
        <f t="shared" si="674"/>
        <v>0</v>
      </c>
      <c r="AP563" s="10">
        <f t="shared" si="675"/>
        <v>0</v>
      </c>
      <c r="AQ563" s="10">
        <f t="shared" si="676"/>
        <v>0</v>
      </c>
      <c r="AR563" s="10">
        <f t="shared" si="677"/>
        <v>0</v>
      </c>
      <c r="AS563" s="10">
        <f t="shared" si="678"/>
        <v>0</v>
      </c>
      <c r="AT563" s="10">
        <f t="shared" si="679"/>
        <v>0</v>
      </c>
      <c r="AU563" s="10">
        <f t="shared" si="680"/>
        <v>0</v>
      </c>
      <c r="AV563" s="10">
        <f t="shared" si="681"/>
        <v>0</v>
      </c>
      <c r="AW563" s="10">
        <f t="shared" si="682"/>
        <v>0</v>
      </c>
      <c r="AX563" s="10">
        <f t="shared" si="683"/>
        <v>0</v>
      </c>
    </row>
    <row r="564" spans="1:50" x14ac:dyDescent="0.2">
      <c r="A564" s="8">
        <v>16100</v>
      </c>
      <c r="B564" s="89" t="str">
        <f t="shared" si="635"/>
        <v>Oberon</v>
      </c>
      <c r="C564" s="9" t="str">
        <f t="shared" si="636"/>
        <v>NetWaste</v>
      </c>
      <c r="D564" s="51" t="str">
        <f t="shared" si="637"/>
        <v>N</v>
      </c>
      <c r="E564" s="10" t="str">
        <f t="shared" si="638"/>
        <v>CNJO</v>
      </c>
      <c r="F564" s="10">
        <f t="shared" si="639"/>
        <v>5419</v>
      </c>
      <c r="G564" s="10">
        <f t="shared" si="640"/>
        <v>3931</v>
      </c>
      <c r="H564" s="10">
        <f t="shared" si="641"/>
        <v>1.3785296362248791</v>
      </c>
      <c r="I564" s="10">
        <f t="shared" si="642"/>
        <v>3625</v>
      </c>
      <c r="J564" s="10">
        <f t="shared" si="643"/>
        <v>1.5</v>
      </c>
      <c r="K564" s="10">
        <f t="shared" si="644"/>
        <v>213</v>
      </c>
      <c r="L564" s="10" t="str">
        <f t="shared" si="645"/>
        <v>Y</v>
      </c>
      <c r="M564" s="10">
        <f t="shared" si="646"/>
        <v>1498</v>
      </c>
      <c r="N564" s="10">
        <f t="shared" si="647"/>
        <v>0</v>
      </c>
      <c r="O564" s="10">
        <f t="shared" si="648"/>
        <v>0</v>
      </c>
      <c r="P564" s="10">
        <f t="shared" si="649"/>
        <v>0</v>
      </c>
      <c r="Q564" s="10">
        <f t="shared" si="650"/>
        <v>3931</v>
      </c>
      <c r="R564" s="10" t="str">
        <f t="shared" si="651"/>
        <v>Yes</v>
      </c>
      <c r="S564" s="10" t="str">
        <f t="shared" si="652"/>
        <v>Oberon</v>
      </c>
      <c r="T564" s="10" t="str">
        <f t="shared" si="653"/>
        <v>Burraga</v>
      </c>
      <c r="U564" s="10" t="str">
        <f t="shared" si="654"/>
        <v>Black Springs</v>
      </c>
      <c r="V564" s="10">
        <f t="shared" si="655"/>
        <v>0</v>
      </c>
      <c r="W564" s="10">
        <f t="shared" si="656"/>
        <v>0</v>
      </c>
      <c r="X564" s="10">
        <f t="shared" si="657"/>
        <v>0</v>
      </c>
      <c r="Y564" s="10">
        <f t="shared" si="658"/>
        <v>0</v>
      </c>
      <c r="Z564" s="10">
        <f t="shared" si="659"/>
        <v>0</v>
      </c>
      <c r="AA564" s="10">
        <f t="shared" si="660"/>
        <v>0</v>
      </c>
      <c r="AB564" s="10">
        <f t="shared" si="661"/>
        <v>0</v>
      </c>
      <c r="AC564" s="10">
        <f t="shared" si="662"/>
        <v>0</v>
      </c>
      <c r="AD564" s="10">
        <f t="shared" si="663"/>
        <v>0</v>
      </c>
      <c r="AE564" s="10">
        <f t="shared" si="664"/>
        <v>0</v>
      </c>
      <c r="AF564" s="10">
        <f t="shared" si="665"/>
        <v>0</v>
      </c>
      <c r="AG564" s="10">
        <f t="shared" si="666"/>
        <v>0</v>
      </c>
      <c r="AH564" s="10">
        <f t="shared" si="667"/>
        <v>0</v>
      </c>
      <c r="AI564" s="10">
        <f t="shared" si="668"/>
        <v>0</v>
      </c>
      <c r="AJ564" s="10">
        <f t="shared" si="669"/>
        <v>0</v>
      </c>
      <c r="AK564" s="10">
        <f t="shared" si="670"/>
        <v>0</v>
      </c>
      <c r="AL564" s="10">
        <f t="shared" si="671"/>
        <v>0</v>
      </c>
      <c r="AM564" s="10">
        <f t="shared" si="672"/>
        <v>0</v>
      </c>
      <c r="AN564" s="46">
        <f t="shared" si="673"/>
        <v>0</v>
      </c>
      <c r="AO564" s="10">
        <f t="shared" si="674"/>
        <v>0</v>
      </c>
      <c r="AP564" s="10">
        <f t="shared" si="675"/>
        <v>0</v>
      </c>
      <c r="AQ564" s="10">
        <f t="shared" si="676"/>
        <v>0</v>
      </c>
      <c r="AR564" s="10">
        <f t="shared" si="677"/>
        <v>0</v>
      </c>
      <c r="AS564" s="10">
        <f t="shared" si="678"/>
        <v>0</v>
      </c>
      <c r="AT564" s="10">
        <f t="shared" si="679"/>
        <v>0</v>
      </c>
      <c r="AU564" s="10">
        <f t="shared" si="680"/>
        <v>0</v>
      </c>
      <c r="AV564" s="10">
        <f t="shared" si="681"/>
        <v>0</v>
      </c>
      <c r="AW564" s="10">
        <f t="shared" si="682"/>
        <v>0</v>
      </c>
      <c r="AX564" s="10">
        <f t="shared" si="683"/>
        <v>0</v>
      </c>
    </row>
    <row r="565" spans="1:50" x14ac:dyDescent="0.2">
      <c r="A565" s="8">
        <v>16150</v>
      </c>
      <c r="B565" s="89" t="str">
        <f t="shared" si="635"/>
        <v>Orange</v>
      </c>
      <c r="C565" s="9" t="str">
        <f t="shared" si="636"/>
        <v>NetWaste</v>
      </c>
      <c r="D565" s="51" t="str">
        <f t="shared" si="637"/>
        <v>N</v>
      </c>
      <c r="E565" s="10" t="str">
        <f t="shared" si="638"/>
        <v>CNJO</v>
      </c>
      <c r="F565" s="10">
        <f t="shared" si="639"/>
        <v>42503</v>
      </c>
      <c r="G565" s="10">
        <f t="shared" si="640"/>
        <v>19213</v>
      </c>
      <c r="H565" s="10">
        <f t="shared" si="641"/>
        <v>2.2122000728673292</v>
      </c>
      <c r="I565" s="10">
        <f t="shared" si="642"/>
        <v>284.2</v>
      </c>
      <c r="J565" s="10">
        <f t="shared" si="643"/>
        <v>149.5</v>
      </c>
      <c r="K565" s="10">
        <f t="shared" si="644"/>
        <v>445.35</v>
      </c>
      <c r="L565" s="10" t="str">
        <f t="shared" si="645"/>
        <v>Y</v>
      </c>
      <c r="M565" s="10">
        <f t="shared" si="646"/>
        <v>16745</v>
      </c>
      <c r="N565" s="10">
        <f t="shared" si="647"/>
        <v>16739</v>
      </c>
      <c r="O565" s="10">
        <f t="shared" si="648"/>
        <v>0</v>
      </c>
      <c r="P565" s="10">
        <f t="shared" si="649"/>
        <v>17061</v>
      </c>
      <c r="Q565" s="10">
        <f t="shared" si="650"/>
        <v>19213</v>
      </c>
      <c r="R565" s="10" t="str">
        <f t="shared" si="651"/>
        <v>Yes</v>
      </c>
      <c r="S565" s="10" t="str">
        <f t="shared" si="652"/>
        <v>RRC Bins - Ophir Road Resource Recovery Centre, 261 Ophir Road Orange</v>
      </c>
      <c r="T565" s="10" t="str">
        <f t="shared" si="653"/>
        <v>CRC - Ophir Road Resource Recovery Centre, 261 Ophir Road Orange</v>
      </c>
      <c r="U565" s="10">
        <f t="shared" si="654"/>
        <v>0</v>
      </c>
      <c r="V565" s="10">
        <f t="shared" si="655"/>
        <v>0</v>
      </c>
      <c r="W565" s="10">
        <f t="shared" si="656"/>
        <v>0</v>
      </c>
      <c r="X565" s="10">
        <f t="shared" si="657"/>
        <v>0</v>
      </c>
      <c r="Y565" s="10">
        <f t="shared" si="658"/>
        <v>0</v>
      </c>
      <c r="Z565" s="10">
        <f t="shared" si="659"/>
        <v>0</v>
      </c>
      <c r="AA565" s="10">
        <f t="shared" si="660"/>
        <v>0</v>
      </c>
      <c r="AB565" s="10">
        <f t="shared" si="661"/>
        <v>0</v>
      </c>
      <c r="AC565" s="10">
        <f t="shared" si="662"/>
        <v>0</v>
      </c>
      <c r="AD565" s="10">
        <f t="shared" si="663"/>
        <v>0</v>
      </c>
      <c r="AE565" s="10">
        <f t="shared" si="664"/>
        <v>0</v>
      </c>
      <c r="AF565" s="10">
        <f t="shared" si="665"/>
        <v>0</v>
      </c>
      <c r="AG565" s="10">
        <f t="shared" si="666"/>
        <v>0</v>
      </c>
      <c r="AH565" s="10">
        <f t="shared" si="667"/>
        <v>0</v>
      </c>
      <c r="AI565" s="10">
        <f t="shared" si="668"/>
        <v>0</v>
      </c>
      <c r="AJ565" s="10">
        <f t="shared" si="669"/>
        <v>0</v>
      </c>
      <c r="AK565" s="10">
        <f t="shared" si="670"/>
        <v>0</v>
      </c>
      <c r="AL565" s="10">
        <f t="shared" si="671"/>
        <v>0</v>
      </c>
      <c r="AM565" s="10">
        <f t="shared" si="672"/>
        <v>0</v>
      </c>
      <c r="AN565" s="46">
        <f t="shared" si="673"/>
        <v>0</v>
      </c>
      <c r="AO565" s="10">
        <f t="shared" si="674"/>
        <v>0</v>
      </c>
      <c r="AP565" s="10">
        <f t="shared" si="675"/>
        <v>0</v>
      </c>
      <c r="AQ565" s="10">
        <f t="shared" si="676"/>
        <v>0</v>
      </c>
      <c r="AR565" s="10">
        <f t="shared" si="677"/>
        <v>0</v>
      </c>
      <c r="AS565" s="10">
        <f t="shared" si="678"/>
        <v>0</v>
      </c>
      <c r="AT565" s="10">
        <f t="shared" si="679"/>
        <v>0</v>
      </c>
      <c r="AU565" s="10">
        <f t="shared" si="680"/>
        <v>0</v>
      </c>
      <c r="AV565" s="10">
        <f t="shared" si="681"/>
        <v>0</v>
      </c>
      <c r="AW565" s="10">
        <f t="shared" si="682"/>
        <v>0</v>
      </c>
      <c r="AX565" s="10">
        <f t="shared" si="683"/>
        <v>0</v>
      </c>
    </row>
    <row r="566" spans="1:50" x14ac:dyDescent="0.2">
      <c r="A566" s="8">
        <v>16200</v>
      </c>
      <c r="B566" s="89" t="str">
        <f t="shared" si="635"/>
        <v>Parkes</v>
      </c>
      <c r="C566" s="9" t="str">
        <f t="shared" si="636"/>
        <v>NetWaste</v>
      </c>
      <c r="D566" s="51" t="str">
        <f t="shared" si="637"/>
        <v>N</v>
      </c>
      <c r="E566" s="10" t="str">
        <f t="shared" si="638"/>
        <v>CNJO</v>
      </c>
      <c r="F566" s="10">
        <f t="shared" si="639"/>
        <v>14728</v>
      </c>
      <c r="G566" s="10">
        <f t="shared" si="640"/>
        <v>8183</v>
      </c>
      <c r="H566" s="10">
        <f t="shared" si="641"/>
        <v>1.7998289136013688</v>
      </c>
      <c r="I566" s="10">
        <f t="shared" si="642"/>
        <v>5957.6</v>
      </c>
      <c r="J566" s="10">
        <f t="shared" si="643"/>
        <v>2.5</v>
      </c>
      <c r="K566" s="10">
        <f t="shared" si="644"/>
        <v>431</v>
      </c>
      <c r="L566" s="10" t="str">
        <f t="shared" si="645"/>
        <v>Y</v>
      </c>
      <c r="M566" s="10">
        <f t="shared" si="646"/>
        <v>5335</v>
      </c>
      <c r="N566" s="10">
        <f t="shared" si="647"/>
        <v>5209</v>
      </c>
      <c r="O566" s="10">
        <f t="shared" si="648"/>
        <v>0</v>
      </c>
      <c r="P566" s="10">
        <f t="shared" si="649"/>
        <v>5209</v>
      </c>
      <c r="Q566" s="10">
        <f t="shared" si="650"/>
        <v>8183</v>
      </c>
      <c r="R566" s="10" t="str">
        <f t="shared" si="651"/>
        <v>Yes</v>
      </c>
      <c r="S566" s="10" t="str">
        <f t="shared" si="652"/>
        <v>Parkes Waste Facility, 104 Brolgan Rd Parkes 2870</v>
      </c>
      <c r="T566" s="10" t="str">
        <f t="shared" si="653"/>
        <v>Peak Hill Transfer Station, Rouse Rd Peak Hill 2869</v>
      </c>
      <c r="U566" s="10" t="str">
        <f t="shared" si="654"/>
        <v>Alectown Landfill</v>
      </c>
      <c r="V566" s="10" t="str">
        <f t="shared" si="655"/>
        <v>Bogan Gate Landfill</v>
      </c>
      <c r="W566" s="10" t="str">
        <f t="shared" si="656"/>
        <v>Gunningbland Landfill</v>
      </c>
      <c r="X566" s="10" t="str">
        <f t="shared" si="657"/>
        <v>Trundle Landfill</v>
      </c>
      <c r="Y566" s="10" t="str">
        <f t="shared" si="658"/>
        <v>Tullamore Landfill</v>
      </c>
      <c r="Z566" s="10">
        <f t="shared" si="659"/>
        <v>0</v>
      </c>
      <c r="AA566" s="10">
        <f t="shared" si="660"/>
        <v>0</v>
      </c>
      <c r="AB566" s="10">
        <f t="shared" si="661"/>
        <v>0</v>
      </c>
      <c r="AC566" s="10">
        <f t="shared" si="662"/>
        <v>0</v>
      </c>
      <c r="AD566" s="10">
        <f t="shared" si="663"/>
        <v>0</v>
      </c>
      <c r="AE566" s="10">
        <f t="shared" si="664"/>
        <v>0</v>
      </c>
      <c r="AF566" s="10">
        <f t="shared" si="665"/>
        <v>0</v>
      </c>
      <c r="AG566" s="10">
        <f t="shared" si="666"/>
        <v>0</v>
      </c>
      <c r="AH566" s="10">
        <f t="shared" si="667"/>
        <v>0</v>
      </c>
      <c r="AI566" s="10">
        <f t="shared" si="668"/>
        <v>0</v>
      </c>
      <c r="AJ566" s="10">
        <f t="shared" si="669"/>
        <v>0</v>
      </c>
      <c r="AK566" s="10">
        <f t="shared" si="670"/>
        <v>0</v>
      </c>
      <c r="AL566" s="10">
        <f t="shared" si="671"/>
        <v>0</v>
      </c>
      <c r="AM566" s="10">
        <f t="shared" si="672"/>
        <v>0</v>
      </c>
      <c r="AN566" s="46">
        <f t="shared" si="673"/>
        <v>0</v>
      </c>
      <c r="AO566" s="10">
        <f t="shared" si="674"/>
        <v>0</v>
      </c>
      <c r="AP566" s="10">
        <f t="shared" si="675"/>
        <v>0</v>
      </c>
      <c r="AQ566" s="10">
        <f t="shared" si="676"/>
        <v>0</v>
      </c>
      <c r="AR566" s="10">
        <f t="shared" si="677"/>
        <v>0</v>
      </c>
      <c r="AS566" s="10">
        <f t="shared" si="678"/>
        <v>0</v>
      </c>
      <c r="AT566" s="10">
        <f t="shared" si="679"/>
        <v>0</v>
      </c>
      <c r="AU566" s="10">
        <f t="shared" si="680"/>
        <v>0</v>
      </c>
      <c r="AV566" s="10">
        <f t="shared" si="681"/>
        <v>0</v>
      </c>
      <c r="AW566" s="10">
        <f t="shared" si="682"/>
        <v>0</v>
      </c>
      <c r="AX566" s="10">
        <f t="shared" si="683"/>
        <v>0</v>
      </c>
    </row>
    <row r="567" spans="1:50" x14ac:dyDescent="0.2">
      <c r="A567" s="8">
        <v>17900</v>
      </c>
      <c r="B567" s="89" t="str">
        <f t="shared" si="635"/>
        <v>Walgett</v>
      </c>
      <c r="C567" s="9" t="str">
        <f t="shared" si="636"/>
        <v>NetWaste</v>
      </c>
      <c r="D567" s="51" t="str">
        <f t="shared" si="637"/>
        <v>N</v>
      </c>
      <c r="E567" s="10" t="str">
        <f t="shared" si="638"/>
        <v>FNWJO</v>
      </c>
      <c r="F567" s="10">
        <f t="shared" si="639"/>
        <v>5828</v>
      </c>
      <c r="G567" s="10">
        <f t="shared" si="640"/>
        <v>4868</v>
      </c>
      <c r="H567" s="10">
        <f t="shared" si="641"/>
        <v>1.1972062448644207</v>
      </c>
      <c r="I567" s="10">
        <f t="shared" si="642"/>
        <v>22308.400000000001</v>
      </c>
      <c r="J567" s="10">
        <f t="shared" si="643"/>
        <v>0.3</v>
      </c>
      <c r="K567" s="10">
        <f t="shared" si="644"/>
        <v>535</v>
      </c>
      <c r="L567" s="10" t="str">
        <f t="shared" si="645"/>
        <v>Y</v>
      </c>
      <c r="M567" s="10">
        <f t="shared" si="646"/>
        <v>1533</v>
      </c>
      <c r="N567" s="10">
        <f t="shared" si="647"/>
        <v>0</v>
      </c>
      <c r="O567" s="10">
        <f t="shared" si="648"/>
        <v>0</v>
      </c>
      <c r="P567" s="10">
        <f t="shared" si="649"/>
        <v>0</v>
      </c>
      <c r="Q567" s="10">
        <f t="shared" si="650"/>
        <v>0</v>
      </c>
      <c r="R567" s="10" t="str">
        <f t="shared" si="651"/>
        <v>Yes</v>
      </c>
      <c r="S567" s="10" t="str">
        <f t="shared" si="652"/>
        <v>Walgett waste facility</v>
      </c>
      <c r="T567" s="10" t="str">
        <f t="shared" si="653"/>
        <v>Lightning Ridge waste facility</v>
      </c>
      <c r="U567" s="10" t="str">
        <f t="shared" si="654"/>
        <v>Rowena Waste facility</v>
      </c>
      <c r="V567" s="10" t="str">
        <f t="shared" si="655"/>
        <v>Burren junction waste facility</v>
      </c>
      <c r="W567" s="10" t="str">
        <f t="shared" si="656"/>
        <v>Come-by Chance waste facility</v>
      </c>
      <c r="X567" s="10" t="str">
        <f t="shared" si="657"/>
        <v>Collarenebri waste facility</v>
      </c>
      <c r="Y567" s="10" t="str">
        <f t="shared" si="658"/>
        <v>Carinda Waste facility</v>
      </c>
      <c r="Z567" s="10">
        <f t="shared" si="659"/>
        <v>0</v>
      </c>
      <c r="AA567" s="10">
        <f t="shared" si="660"/>
        <v>0</v>
      </c>
      <c r="AB567" s="10">
        <f t="shared" si="661"/>
        <v>0</v>
      </c>
      <c r="AC567" s="10">
        <f t="shared" si="662"/>
        <v>0</v>
      </c>
      <c r="AD567" s="10">
        <f t="shared" si="663"/>
        <v>0</v>
      </c>
      <c r="AE567" s="10">
        <f t="shared" si="664"/>
        <v>0</v>
      </c>
      <c r="AF567" s="10">
        <f t="shared" si="665"/>
        <v>0</v>
      </c>
      <c r="AG567" s="10">
        <f t="shared" si="666"/>
        <v>0</v>
      </c>
      <c r="AH567" s="10">
        <f t="shared" si="667"/>
        <v>0</v>
      </c>
      <c r="AI567" s="10">
        <f t="shared" si="668"/>
        <v>0</v>
      </c>
      <c r="AJ567" s="10">
        <f t="shared" si="669"/>
        <v>0</v>
      </c>
      <c r="AK567" s="10">
        <f t="shared" si="670"/>
        <v>0</v>
      </c>
      <c r="AL567" s="10">
        <f t="shared" si="671"/>
        <v>0</v>
      </c>
      <c r="AM567" s="10">
        <f t="shared" si="672"/>
        <v>0</v>
      </c>
      <c r="AN567" s="46">
        <f t="shared" si="673"/>
        <v>0</v>
      </c>
      <c r="AO567" s="10">
        <f t="shared" si="674"/>
        <v>0</v>
      </c>
      <c r="AP567" s="10">
        <f t="shared" si="675"/>
        <v>0</v>
      </c>
      <c r="AQ567" s="10">
        <f t="shared" si="676"/>
        <v>0</v>
      </c>
      <c r="AR567" s="10">
        <f t="shared" si="677"/>
        <v>0</v>
      </c>
      <c r="AS567" s="10">
        <f t="shared" si="678"/>
        <v>0</v>
      </c>
      <c r="AT567" s="10">
        <f t="shared" si="679"/>
        <v>0</v>
      </c>
      <c r="AU567" s="10">
        <f t="shared" si="680"/>
        <v>0</v>
      </c>
      <c r="AV567" s="10">
        <f t="shared" si="681"/>
        <v>0</v>
      </c>
      <c r="AW567" s="10">
        <f t="shared" si="682"/>
        <v>0</v>
      </c>
      <c r="AX567" s="10">
        <f t="shared" si="683"/>
        <v>0</v>
      </c>
    </row>
    <row r="568" spans="1:50" x14ac:dyDescent="0.2">
      <c r="A568" s="8">
        <v>17950</v>
      </c>
      <c r="B568" s="89" t="str">
        <f t="shared" si="635"/>
        <v>Warren</v>
      </c>
      <c r="C568" s="9" t="str">
        <f t="shared" si="636"/>
        <v>NetWaste</v>
      </c>
      <c r="D568" s="51" t="str">
        <f t="shared" si="637"/>
        <v>N</v>
      </c>
      <c r="E568" s="10" t="str">
        <f t="shared" si="638"/>
        <v>OJO</v>
      </c>
      <c r="F568" s="10">
        <f t="shared" si="639"/>
        <v>2716</v>
      </c>
      <c r="G568" s="10">
        <f t="shared" si="640"/>
        <v>2058</v>
      </c>
      <c r="H568" s="10">
        <f t="shared" si="641"/>
        <v>1.3197278911564625</v>
      </c>
      <c r="I568" s="10">
        <f t="shared" si="642"/>
        <v>10753.8</v>
      </c>
      <c r="J568" s="10">
        <f t="shared" si="643"/>
        <v>0.3</v>
      </c>
      <c r="K568" s="10">
        <f t="shared" si="644"/>
        <v>278</v>
      </c>
      <c r="L568" s="10" t="str">
        <f t="shared" si="645"/>
        <v>Y</v>
      </c>
      <c r="M568" s="10">
        <f t="shared" si="646"/>
        <v>950</v>
      </c>
      <c r="N568" s="10">
        <f t="shared" si="647"/>
        <v>0</v>
      </c>
      <c r="O568" s="10">
        <f t="shared" si="648"/>
        <v>0</v>
      </c>
      <c r="P568" s="10">
        <f t="shared" si="649"/>
        <v>0</v>
      </c>
      <c r="Q568" s="10">
        <f t="shared" si="650"/>
        <v>2058</v>
      </c>
      <c r="R568" s="10" t="str">
        <f t="shared" si="651"/>
        <v>Yes</v>
      </c>
      <c r="S568" s="10">
        <f t="shared" si="652"/>
        <v>0</v>
      </c>
      <c r="T568" s="10">
        <f t="shared" si="653"/>
        <v>0</v>
      </c>
      <c r="U568" s="10">
        <f t="shared" si="654"/>
        <v>0</v>
      </c>
      <c r="V568" s="10">
        <f t="shared" si="655"/>
        <v>0</v>
      </c>
      <c r="W568" s="10">
        <f t="shared" si="656"/>
        <v>0</v>
      </c>
      <c r="X568" s="10">
        <f t="shared" si="657"/>
        <v>0</v>
      </c>
      <c r="Y568" s="10">
        <f t="shared" si="658"/>
        <v>0</v>
      </c>
      <c r="Z568" s="10">
        <f t="shared" si="659"/>
        <v>0</v>
      </c>
      <c r="AA568" s="10">
        <f t="shared" si="660"/>
        <v>0</v>
      </c>
      <c r="AB568" s="10">
        <f t="shared" si="661"/>
        <v>0</v>
      </c>
      <c r="AC568" s="10">
        <f t="shared" si="662"/>
        <v>0</v>
      </c>
      <c r="AD568" s="10">
        <f t="shared" si="663"/>
        <v>0</v>
      </c>
      <c r="AE568" s="10">
        <f t="shared" si="664"/>
        <v>0</v>
      </c>
      <c r="AF568" s="10">
        <f t="shared" si="665"/>
        <v>0</v>
      </c>
      <c r="AG568" s="10">
        <f t="shared" si="666"/>
        <v>0</v>
      </c>
      <c r="AH568" s="10">
        <f t="shared" si="667"/>
        <v>0</v>
      </c>
      <c r="AI568" s="10">
        <f t="shared" si="668"/>
        <v>0</v>
      </c>
      <c r="AJ568" s="10">
        <f t="shared" si="669"/>
        <v>0</v>
      </c>
      <c r="AK568" s="10">
        <f t="shared" si="670"/>
        <v>0</v>
      </c>
      <c r="AL568" s="10">
        <f t="shared" si="671"/>
        <v>0</v>
      </c>
      <c r="AM568" s="10">
        <f t="shared" si="672"/>
        <v>0</v>
      </c>
      <c r="AN568" s="46">
        <f t="shared" si="673"/>
        <v>0</v>
      </c>
      <c r="AO568" s="10">
        <f t="shared" si="674"/>
        <v>0</v>
      </c>
      <c r="AP568" s="10">
        <f t="shared" si="675"/>
        <v>0</v>
      </c>
      <c r="AQ568" s="10">
        <f t="shared" si="676"/>
        <v>0</v>
      </c>
      <c r="AR568" s="10">
        <f t="shared" si="677"/>
        <v>0</v>
      </c>
      <c r="AS568" s="10">
        <f t="shared" si="678"/>
        <v>0</v>
      </c>
      <c r="AT568" s="10">
        <f t="shared" si="679"/>
        <v>0</v>
      </c>
      <c r="AU568" s="10">
        <f t="shared" si="680"/>
        <v>0</v>
      </c>
      <c r="AV568" s="10">
        <f t="shared" si="681"/>
        <v>0</v>
      </c>
      <c r="AW568" s="10">
        <f t="shared" si="682"/>
        <v>0</v>
      </c>
      <c r="AX568" s="10">
        <f t="shared" si="683"/>
        <v>0</v>
      </c>
    </row>
    <row r="569" spans="1:50" x14ac:dyDescent="0.2">
      <c r="A569" s="8">
        <v>18020</v>
      </c>
      <c r="B569" s="89" t="str">
        <f t="shared" si="635"/>
        <v>Warrumbungle Shire</v>
      </c>
      <c r="C569" s="9" t="str">
        <f t="shared" si="636"/>
        <v>NetWaste</v>
      </c>
      <c r="D569" s="51" t="str">
        <f t="shared" si="637"/>
        <v>N</v>
      </c>
      <c r="E569" s="10" t="str">
        <f t="shared" si="638"/>
        <v>OJO</v>
      </c>
      <c r="F569" s="10">
        <f t="shared" si="639"/>
        <v>9209</v>
      </c>
      <c r="G569" s="10">
        <f t="shared" si="640"/>
        <v>6361</v>
      </c>
      <c r="H569" s="10">
        <f t="shared" si="641"/>
        <v>1.4477283445999056</v>
      </c>
      <c r="I569" s="10">
        <f t="shared" si="642"/>
        <v>12372.1</v>
      </c>
      <c r="J569" s="10">
        <f t="shared" si="643"/>
        <v>0.7</v>
      </c>
      <c r="K569" s="10">
        <f t="shared" si="644"/>
        <v>379</v>
      </c>
      <c r="L569" s="10" t="str">
        <f t="shared" si="645"/>
        <v>Y</v>
      </c>
      <c r="M569" s="10">
        <f t="shared" si="646"/>
        <v>5805</v>
      </c>
      <c r="N569" s="10">
        <f t="shared" si="647"/>
        <v>5805</v>
      </c>
      <c r="O569" s="10">
        <f t="shared" si="648"/>
        <v>0</v>
      </c>
      <c r="P569" s="10">
        <f t="shared" si="649"/>
        <v>0</v>
      </c>
      <c r="Q569" s="10">
        <f t="shared" si="650"/>
        <v>0</v>
      </c>
      <c r="R569" s="10" t="str">
        <f t="shared" si="651"/>
        <v>Yes</v>
      </c>
      <c r="S569" s="10" t="str">
        <f t="shared" si="652"/>
        <v>Warrumbungle Shire Council</v>
      </c>
      <c r="T569" s="10">
        <f t="shared" si="653"/>
        <v>0</v>
      </c>
      <c r="U569" s="10">
        <f t="shared" si="654"/>
        <v>0</v>
      </c>
      <c r="V569" s="10">
        <f t="shared" si="655"/>
        <v>0</v>
      </c>
      <c r="W569" s="10">
        <f t="shared" si="656"/>
        <v>0</v>
      </c>
      <c r="X569" s="10">
        <f t="shared" si="657"/>
        <v>0</v>
      </c>
      <c r="Y569" s="10">
        <f t="shared" si="658"/>
        <v>0</v>
      </c>
      <c r="Z569" s="10">
        <f t="shared" si="659"/>
        <v>0</v>
      </c>
      <c r="AA569" s="10">
        <f t="shared" si="660"/>
        <v>0</v>
      </c>
      <c r="AB569" s="10">
        <f t="shared" si="661"/>
        <v>0</v>
      </c>
      <c r="AC569" s="10">
        <f t="shared" si="662"/>
        <v>0</v>
      </c>
      <c r="AD569" s="10">
        <f t="shared" si="663"/>
        <v>0</v>
      </c>
      <c r="AE569" s="10">
        <f t="shared" si="664"/>
        <v>0</v>
      </c>
      <c r="AF569" s="10">
        <f t="shared" si="665"/>
        <v>0</v>
      </c>
      <c r="AG569" s="10">
        <f t="shared" si="666"/>
        <v>0</v>
      </c>
      <c r="AH569" s="10">
        <f t="shared" si="667"/>
        <v>0</v>
      </c>
      <c r="AI569" s="10">
        <f t="shared" si="668"/>
        <v>0</v>
      </c>
      <c r="AJ569" s="10">
        <f t="shared" si="669"/>
        <v>0</v>
      </c>
      <c r="AK569" s="10">
        <f t="shared" si="670"/>
        <v>0</v>
      </c>
      <c r="AL569" s="10">
        <f t="shared" si="671"/>
        <v>0</v>
      </c>
      <c r="AM569" s="10">
        <f t="shared" si="672"/>
        <v>0</v>
      </c>
      <c r="AN569" s="46">
        <f t="shared" si="673"/>
        <v>0</v>
      </c>
      <c r="AO569" s="10">
        <f t="shared" si="674"/>
        <v>0</v>
      </c>
      <c r="AP569" s="10">
        <f t="shared" si="675"/>
        <v>0</v>
      </c>
      <c r="AQ569" s="10">
        <f t="shared" si="676"/>
        <v>0</v>
      </c>
      <c r="AR569" s="10">
        <f t="shared" si="677"/>
        <v>0</v>
      </c>
      <c r="AS569" s="10">
        <f t="shared" si="678"/>
        <v>0</v>
      </c>
      <c r="AT569" s="10">
        <f t="shared" si="679"/>
        <v>0</v>
      </c>
      <c r="AU569" s="10">
        <f t="shared" si="680"/>
        <v>0</v>
      </c>
      <c r="AV569" s="10">
        <f t="shared" si="681"/>
        <v>0</v>
      </c>
      <c r="AW569" s="10">
        <f t="shared" si="682"/>
        <v>0</v>
      </c>
      <c r="AX569" s="10">
        <f t="shared" si="683"/>
        <v>0</v>
      </c>
    </row>
    <row r="570" spans="1:50" ht="13.5" thickBot="1" x14ac:dyDescent="0.25">
      <c r="A570" s="8">
        <v>18100</v>
      </c>
      <c r="B570" s="89" t="str">
        <f t="shared" si="635"/>
        <v>Weddin</v>
      </c>
      <c r="C570" s="9" t="str">
        <f t="shared" si="636"/>
        <v>NetWaste</v>
      </c>
      <c r="D570" s="51" t="str">
        <f t="shared" si="637"/>
        <v>N</v>
      </c>
      <c r="E570" s="10" t="str">
        <f t="shared" si="638"/>
        <v>CNJO</v>
      </c>
      <c r="F570" s="10">
        <f t="shared" si="639"/>
        <v>3596</v>
      </c>
      <c r="G570" s="10">
        <f t="shared" si="640"/>
        <v>2606</v>
      </c>
      <c r="H570" s="10">
        <f t="shared" si="641"/>
        <v>1.3798925556408288</v>
      </c>
      <c r="I570" s="10">
        <f t="shared" si="642"/>
        <v>3414.9</v>
      </c>
      <c r="J570" s="10">
        <f t="shared" si="643"/>
        <v>1.1000000000000001</v>
      </c>
      <c r="K570" s="10">
        <f t="shared" si="644"/>
        <v>310</v>
      </c>
      <c r="L570" s="10" t="str">
        <f t="shared" si="645"/>
        <v>Y</v>
      </c>
      <c r="M570" s="10">
        <f t="shared" si="646"/>
        <v>1142</v>
      </c>
      <c r="N570" s="10">
        <f t="shared" si="647"/>
        <v>1046</v>
      </c>
      <c r="O570" s="10">
        <f t="shared" si="648"/>
        <v>0</v>
      </c>
      <c r="P570" s="10">
        <f t="shared" si="649"/>
        <v>0</v>
      </c>
      <c r="Q570" s="10">
        <f t="shared" si="650"/>
        <v>0</v>
      </c>
      <c r="R570" s="10" t="str">
        <f t="shared" si="651"/>
        <v>Yes</v>
      </c>
      <c r="S570" s="10" t="str">
        <f t="shared" si="652"/>
        <v>Grenfell Landfill</v>
      </c>
      <c r="T570" s="10" t="str">
        <f t="shared" si="653"/>
        <v>Quandialla Landfill</v>
      </c>
      <c r="U570" s="10" t="str">
        <f t="shared" si="654"/>
        <v>Caragabal Landfill</v>
      </c>
      <c r="V570" s="10">
        <f t="shared" si="655"/>
        <v>0</v>
      </c>
      <c r="W570" s="10">
        <f t="shared" si="656"/>
        <v>0</v>
      </c>
      <c r="X570" s="10">
        <f t="shared" si="657"/>
        <v>0</v>
      </c>
      <c r="Y570" s="10">
        <f t="shared" si="658"/>
        <v>0</v>
      </c>
      <c r="Z570" s="10">
        <f t="shared" si="659"/>
        <v>0</v>
      </c>
      <c r="AA570" s="10">
        <f t="shared" si="660"/>
        <v>0</v>
      </c>
      <c r="AB570" s="10">
        <f t="shared" si="661"/>
        <v>0</v>
      </c>
      <c r="AC570" s="10">
        <f t="shared" si="662"/>
        <v>0</v>
      </c>
      <c r="AD570" s="10">
        <f t="shared" si="663"/>
        <v>0</v>
      </c>
      <c r="AE570" s="10">
        <f t="shared" si="664"/>
        <v>0</v>
      </c>
      <c r="AF570" s="10">
        <f t="shared" si="665"/>
        <v>0</v>
      </c>
      <c r="AG570" s="10">
        <f t="shared" si="666"/>
        <v>0</v>
      </c>
      <c r="AH570" s="10">
        <f t="shared" si="667"/>
        <v>0</v>
      </c>
      <c r="AI570" s="10">
        <f t="shared" si="668"/>
        <v>0</v>
      </c>
      <c r="AJ570" s="10">
        <f t="shared" si="669"/>
        <v>0</v>
      </c>
      <c r="AK570" s="10">
        <f t="shared" si="670"/>
        <v>0</v>
      </c>
      <c r="AL570" s="10">
        <f t="shared" si="671"/>
        <v>0</v>
      </c>
      <c r="AM570" s="10">
        <f t="shared" si="672"/>
        <v>0</v>
      </c>
      <c r="AN570" s="46">
        <f t="shared" si="673"/>
        <v>0</v>
      </c>
      <c r="AO570" s="10">
        <f t="shared" si="674"/>
        <v>0</v>
      </c>
      <c r="AP570" s="10">
        <f t="shared" si="675"/>
        <v>0</v>
      </c>
      <c r="AQ570" s="10">
        <f t="shared" si="676"/>
        <v>0</v>
      </c>
      <c r="AR570" s="10">
        <f t="shared" si="677"/>
        <v>0</v>
      </c>
      <c r="AS570" s="10">
        <f t="shared" si="678"/>
        <v>0</v>
      </c>
      <c r="AT570" s="10">
        <f t="shared" si="679"/>
        <v>0</v>
      </c>
      <c r="AU570" s="10">
        <f t="shared" si="680"/>
        <v>0</v>
      </c>
      <c r="AV570" s="10">
        <f t="shared" si="681"/>
        <v>0</v>
      </c>
      <c r="AW570" s="10">
        <f t="shared" si="682"/>
        <v>0</v>
      </c>
      <c r="AX570" s="10">
        <f t="shared" si="683"/>
        <v>0</v>
      </c>
    </row>
    <row r="571" spans="1:50" ht="13.5" thickTop="1" x14ac:dyDescent="0.2">
      <c r="A571" s="11"/>
      <c r="B571" s="11"/>
      <c r="C571" s="11" t="s">
        <v>30</v>
      </c>
      <c r="D571" s="11"/>
      <c r="E571" s="12"/>
      <c r="F571" s="13">
        <f t="shared" ref="F571:AX571" si="684">COUNTIF(F546:F570,"&gt;0")</f>
        <v>25</v>
      </c>
      <c r="G571" s="13">
        <f t="shared" si="684"/>
        <v>25</v>
      </c>
      <c r="H571" s="13">
        <f t="shared" si="684"/>
        <v>25</v>
      </c>
      <c r="I571" s="13">
        <f t="shared" si="684"/>
        <v>25</v>
      </c>
      <c r="J571" s="13">
        <f t="shared" si="684"/>
        <v>24</v>
      </c>
      <c r="K571" s="13">
        <f t="shared" si="684"/>
        <v>25</v>
      </c>
      <c r="L571" s="13">
        <f t="shared" si="684"/>
        <v>0</v>
      </c>
      <c r="M571" s="13">
        <f t="shared" si="684"/>
        <v>25</v>
      </c>
      <c r="N571" s="13">
        <f t="shared" si="684"/>
        <v>16</v>
      </c>
      <c r="O571" s="13">
        <f t="shared" si="684"/>
        <v>1</v>
      </c>
      <c r="P571" s="13">
        <f t="shared" si="684"/>
        <v>8</v>
      </c>
      <c r="Q571" s="13">
        <f t="shared" si="684"/>
        <v>11</v>
      </c>
      <c r="R571" s="13">
        <f t="shared" si="684"/>
        <v>0</v>
      </c>
      <c r="S571" s="13">
        <f t="shared" si="684"/>
        <v>0</v>
      </c>
      <c r="T571" s="13">
        <f t="shared" si="684"/>
        <v>0</v>
      </c>
      <c r="U571" s="13">
        <f t="shared" si="684"/>
        <v>0</v>
      </c>
      <c r="V571" s="13">
        <f t="shared" si="684"/>
        <v>0</v>
      </c>
      <c r="W571" s="13">
        <f t="shared" si="684"/>
        <v>0</v>
      </c>
      <c r="X571" s="13">
        <f t="shared" si="684"/>
        <v>0</v>
      </c>
      <c r="Y571" s="13">
        <f t="shared" si="684"/>
        <v>0</v>
      </c>
      <c r="Z571" s="13">
        <f t="shared" si="684"/>
        <v>0</v>
      </c>
      <c r="AA571" s="13">
        <f t="shared" si="684"/>
        <v>0</v>
      </c>
      <c r="AB571" s="13">
        <f t="shared" si="684"/>
        <v>0</v>
      </c>
      <c r="AC571" s="13">
        <f t="shared" si="684"/>
        <v>0</v>
      </c>
      <c r="AD571" s="13">
        <f t="shared" si="684"/>
        <v>0</v>
      </c>
      <c r="AE571" s="13">
        <f t="shared" si="684"/>
        <v>0</v>
      </c>
      <c r="AF571" s="13">
        <f t="shared" si="684"/>
        <v>0</v>
      </c>
      <c r="AG571" s="13">
        <f t="shared" si="684"/>
        <v>0</v>
      </c>
      <c r="AH571" s="13">
        <f t="shared" si="684"/>
        <v>0</v>
      </c>
      <c r="AI571" s="13">
        <f t="shared" si="684"/>
        <v>0</v>
      </c>
      <c r="AJ571" s="13">
        <f t="shared" si="684"/>
        <v>0</v>
      </c>
      <c r="AK571" s="13">
        <f t="shared" si="684"/>
        <v>0</v>
      </c>
      <c r="AL571" s="13">
        <f t="shared" si="684"/>
        <v>0</v>
      </c>
      <c r="AM571" s="44">
        <f t="shared" si="684"/>
        <v>0</v>
      </c>
      <c r="AN571" s="13">
        <f t="shared" si="684"/>
        <v>0</v>
      </c>
      <c r="AO571" s="13">
        <f t="shared" si="684"/>
        <v>0</v>
      </c>
      <c r="AP571" s="13">
        <f t="shared" si="684"/>
        <v>0</v>
      </c>
      <c r="AQ571" s="13">
        <f t="shared" si="684"/>
        <v>0</v>
      </c>
      <c r="AR571" s="13">
        <f t="shared" si="684"/>
        <v>0</v>
      </c>
      <c r="AS571" s="13">
        <f t="shared" si="684"/>
        <v>0</v>
      </c>
      <c r="AT571" s="13">
        <f t="shared" si="684"/>
        <v>0</v>
      </c>
      <c r="AU571" s="13">
        <f t="shared" si="684"/>
        <v>0</v>
      </c>
      <c r="AV571" s="13">
        <f t="shared" si="684"/>
        <v>0</v>
      </c>
      <c r="AW571" s="13">
        <f t="shared" si="684"/>
        <v>0</v>
      </c>
      <c r="AX571" s="13">
        <f t="shared" si="684"/>
        <v>0</v>
      </c>
    </row>
    <row r="572" spans="1:50" x14ac:dyDescent="0.2">
      <c r="A572" s="8"/>
      <c r="B572" s="8"/>
      <c r="C572" s="8" t="s">
        <v>31</v>
      </c>
      <c r="D572" s="8"/>
      <c r="E572" s="80"/>
      <c r="F572" s="15">
        <f t="shared" ref="F572:AX572" si="685">SUM(F546:F570)</f>
        <v>323538</v>
      </c>
      <c r="G572" s="15">
        <f t="shared" si="685"/>
        <v>170613</v>
      </c>
      <c r="H572" s="110">
        <f>F572/G572</f>
        <v>1.8963267746303036</v>
      </c>
      <c r="I572" s="15">
        <f t="shared" si="685"/>
        <v>307976.8</v>
      </c>
      <c r="J572" s="15">
        <f t="shared" si="685"/>
        <v>300.90000000000003</v>
      </c>
      <c r="K572" s="15">
        <f t="shared" si="685"/>
        <v>10135.66</v>
      </c>
      <c r="L572" s="15">
        <f t="shared" si="685"/>
        <v>0</v>
      </c>
      <c r="M572" s="15">
        <f t="shared" si="685"/>
        <v>120098</v>
      </c>
      <c r="N572" s="15">
        <f t="shared" si="685"/>
        <v>100557</v>
      </c>
      <c r="O572" s="15">
        <f t="shared" si="685"/>
        <v>1293</v>
      </c>
      <c r="P572" s="15">
        <f t="shared" si="685"/>
        <v>74559</v>
      </c>
      <c r="Q572" s="15">
        <f t="shared" si="685"/>
        <v>87882</v>
      </c>
      <c r="R572" s="15">
        <f t="shared" si="685"/>
        <v>0</v>
      </c>
      <c r="S572" s="15">
        <f t="shared" si="685"/>
        <v>0</v>
      </c>
      <c r="T572" s="15">
        <f t="shared" si="685"/>
        <v>0</v>
      </c>
      <c r="U572" s="15">
        <f t="shared" si="685"/>
        <v>0</v>
      </c>
      <c r="V572" s="15">
        <f t="shared" si="685"/>
        <v>0</v>
      </c>
      <c r="W572" s="15">
        <f t="shared" si="685"/>
        <v>0</v>
      </c>
      <c r="X572" s="15">
        <f t="shared" si="685"/>
        <v>0</v>
      </c>
      <c r="Y572" s="15">
        <f t="shared" si="685"/>
        <v>0</v>
      </c>
      <c r="Z572" s="15">
        <f t="shared" si="685"/>
        <v>0</v>
      </c>
      <c r="AA572" s="15">
        <f t="shared" si="685"/>
        <v>0</v>
      </c>
      <c r="AB572" s="15">
        <f t="shared" si="685"/>
        <v>0</v>
      </c>
      <c r="AC572" s="15">
        <f t="shared" si="685"/>
        <v>0</v>
      </c>
      <c r="AD572" s="15">
        <f t="shared" si="685"/>
        <v>0</v>
      </c>
      <c r="AE572" s="15">
        <f t="shared" si="685"/>
        <v>0</v>
      </c>
      <c r="AF572" s="15">
        <f t="shared" si="685"/>
        <v>0</v>
      </c>
      <c r="AG572" s="15">
        <f t="shared" si="685"/>
        <v>0</v>
      </c>
      <c r="AH572" s="15">
        <f t="shared" si="685"/>
        <v>0</v>
      </c>
      <c r="AI572" s="15">
        <f t="shared" si="685"/>
        <v>0</v>
      </c>
      <c r="AJ572" s="15">
        <f t="shared" si="685"/>
        <v>0</v>
      </c>
      <c r="AK572" s="15">
        <f t="shared" si="685"/>
        <v>0</v>
      </c>
      <c r="AL572" s="15">
        <f t="shared" si="685"/>
        <v>0</v>
      </c>
      <c r="AM572" s="45">
        <f t="shared" si="685"/>
        <v>0</v>
      </c>
      <c r="AN572" s="15">
        <f t="shared" si="685"/>
        <v>0</v>
      </c>
      <c r="AO572" s="15">
        <f t="shared" si="685"/>
        <v>0</v>
      </c>
      <c r="AP572" s="15">
        <f t="shared" si="685"/>
        <v>0</v>
      </c>
      <c r="AQ572" s="15">
        <f t="shared" si="685"/>
        <v>0</v>
      </c>
      <c r="AR572" s="15">
        <f t="shared" si="685"/>
        <v>0</v>
      </c>
      <c r="AS572" s="15">
        <f t="shared" si="685"/>
        <v>0</v>
      </c>
      <c r="AT572" s="15">
        <f t="shared" si="685"/>
        <v>0</v>
      </c>
      <c r="AU572" s="15">
        <f t="shared" si="685"/>
        <v>0</v>
      </c>
      <c r="AV572" s="15">
        <f t="shared" si="685"/>
        <v>0</v>
      </c>
      <c r="AW572" s="15">
        <f t="shared" si="685"/>
        <v>0</v>
      </c>
      <c r="AX572" s="15">
        <f t="shared" si="685"/>
        <v>0</v>
      </c>
    </row>
    <row r="573" spans="1:50" x14ac:dyDescent="0.2">
      <c r="A573" s="8"/>
      <c r="B573" s="8"/>
      <c r="C573" s="8" t="s">
        <v>32</v>
      </c>
      <c r="D573" s="8"/>
      <c r="E573" s="80"/>
      <c r="F573" s="10">
        <f t="shared" ref="F573:AX573" si="686">MIN(F546:F570)</f>
        <v>1553</v>
      </c>
      <c r="G573" s="10">
        <f t="shared" si="686"/>
        <v>725</v>
      </c>
      <c r="H573" s="10">
        <f t="shared" si="686"/>
        <v>0.93650793650793651</v>
      </c>
      <c r="I573" s="10">
        <f t="shared" si="686"/>
        <v>170.1</v>
      </c>
      <c r="J573" s="10">
        <f t="shared" si="686"/>
        <v>0</v>
      </c>
      <c r="K573" s="10">
        <f t="shared" si="686"/>
        <v>51</v>
      </c>
      <c r="L573" s="10">
        <f t="shared" si="686"/>
        <v>0</v>
      </c>
      <c r="M573" s="10">
        <f t="shared" si="686"/>
        <v>665</v>
      </c>
      <c r="N573" s="10">
        <f t="shared" si="686"/>
        <v>0</v>
      </c>
      <c r="O573" s="10">
        <f t="shared" si="686"/>
        <v>0</v>
      </c>
      <c r="P573" s="10">
        <f t="shared" si="686"/>
        <v>0</v>
      </c>
      <c r="Q573" s="10">
        <f t="shared" si="686"/>
        <v>0</v>
      </c>
      <c r="R573" s="10">
        <f t="shared" si="686"/>
        <v>0</v>
      </c>
      <c r="S573" s="10">
        <f t="shared" si="686"/>
        <v>0</v>
      </c>
      <c r="T573" s="10">
        <f t="shared" si="686"/>
        <v>0</v>
      </c>
      <c r="U573" s="10">
        <f t="shared" si="686"/>
        <v>0</v>
      </c>
      <c r="V573" s="10">
        <f t="shared" si="686"/>
        <v>0</v>
      </c>
      <c r="W573" s="10">
        <f t="shared" si="686"/>
        <v>0</v>
      </c>
      <c r="X573" s="10">
        <f t="shared" si="686"/>
        <v>0</v>
      </c>
      <c r="Y573" s="10">
        <f t="shared" si="686"/>
        <v>0</v>
      </c>
      <c r="Z573" s="10">
        <f t="shared" si="686"/>
        <v>0</v>
      </c>
      <c r="AA573" s="10">
        <f t="shared" si="686"/>
        <v>0</v>
      </c>
      <c r="AB573" s="10">
        <f t="shared" si="686"/>
        <v>0</v>
      </c>
      <c r="AC573" s="10">
        <f t="shared" si="686"/>
        <v>0</v>
      </c>
      <c r="AD573" s="10">
        <f t="shared" si="686"/>
        <v>0</v>
      </c>
      <c r="AE573" s="10">
        <f t="shared" si="686"/>
        <v>0</v>
      </c>
      <c r="AF573" s="10">
        <f t="shared" si="686"/>
        <v>0</v>
      </c>
      <c r="AG573" s="10">
        <f t="shared" si="686"/>
        <v>0</v>
      </c>
      <c r="AH573" s="10">
        <f t="shared" si="686"/>
        <v>0</v>
      </c>
      <c r="AI573" s="10">
        <f t="shared" si="686"/>
        <v>0</v>
      </c>
      <c r="AJ573" s="10">
        <f t="shared" si="686"/>
        <v>0</v>
      </c>
      <c r="AK573" s="10">
        <f t="shared" si="686"/>
        <v>0</v>
      </c>
      <c r="AL573" s="10">
        <f t="shared" si="686"/>
        <v>0</v>
      </c>
      <c r="AM573" s="46">
        <f t="shared" si="686"/>
        <v>0</v>
      </c>
      <c r="AN573" s="10">
        <f t="shared" si="686"/>
        <v>0</v>
      </c>
      <c r="AO573" s="10">
        <f t="shared" si="686"/>
        <v>0</v>
      </c>
      <c r="AP573" s="10">
        <f t="shared" si="686"/>
        <v>0</v>
      </c>
      <c r="AQ573" s="10">
        <f t="shared" si="686"/>
        <v>0</v>
      </c>
      <c r="AR573" s="10">
        <f t="shared" si="686"/>
        <v>0</v>
      </c>
      <c r="AS573" s="10">
        <f t="shared" si="686"/>
        <v>0</v>
      </c>
      <c r="AT573" s="10">
        <f t="shared" si="686"/>
        <v>0</v>
      </c>
      <c r="AU573" s="10">
        <f t="shared" si="686"/>
        <v>0</v>
      </c>
      <c r="AV573" s="10">
        <f t="shared" si="686"/>
        <v>0</v>
      </c>
      <c r="AW573" s="10">
        <f t="shared" si="686"/>
        <v>0</v>
      </c>
      <c r="AX573" s="10">
        <f t="shared" si="686"/>
        <v>0</v>
      </c>
    </row>
    <row r="574" spans="1:50" x14ac:dyDescent="0.2">
      <c r="A574" s="8"/>
      <c r="B574" s="8"/>
      <c r="C574" s="8" t="s">
        <v>33</v>
      </c>
      <c r="D574" s="8"/>
      <c r="E574" s="80"/>
      <c r="F574" s="10">
        <f t="shared" ref="F574:AX574" si="687">MAX(F546:F570)</f>
        <v>54044</v>
      </c>
      <c r="G574" s="10">
        <f t="shared" si="687"/>
        <v>23000</v>
      </c>
      <c r="H574" s="10">
        <f t="shared" si="687"/>
        <v>2.5264677574590952</v>
      </c>
      <c r="I574" s="10">
        <f t="shared" si="687"/>
        <v>53492.2</v>
      </c>
      <c r="J574" s="10">
        <f t="shared" si="687"/>
        <v>149.5</v>
      </c>
      <c r="K574" s="10">
        <f t="shared" si="687"/>
        <v>669</v>
      </c>
      <c r="L574" s="10">
        <f t="shared" si="687"/>
        <v>0</v>
      </c>
      <c r="M574" s="10">
        <f t="shared" si="687"/>
        <v>18988</v>
      </c>
      <c r="N574" s="10">
        <f t="shared" si="687"/>
        <v>18988</v>
      </c>
      <c r="O574" s="10">
        <f t="shared" si="687"/>
        <v>1293</v>
      </c>
      <c r="P574" s="10">
        <f t="shared" si="687"/>
        <v>17061</v>
      </c>
      <c r="Q574" s="10">
        <f t="shared" si="687"/>
        <v>23000</v>
      </c>
      <c r="R574" s="10">
        <f t="shared" si="687"/>
        <v>0</v>
      </c>
      <c r="S574" s="10">
        <f t="shared" si="687"/>
        <v>0</v>
      </c>
      <c r="T574" s="10">
        <f t="shared" si="687"/>
        <v>0</v>
      </c>
      <c r="U574" s="10">
        <f t="shared" si="687"/>
        <v>0</v>
      </c>
      <c r="V574" s="10">
        <f t="shared" si="687"/>
        <v>0</v>
      </c>
      <c r="W574" s="10">
        <f t="shared" si="687"/>
        <v>0</v>
      </c>
      <c r="X574" s="10">
        <f t="shared" si="687"/>
        <v>0</v>
      </c>
      <c r="Y574" s="10">
        <f t="shared" si="687"/>
        <v>0</v>
      </c>
      <c r="Z574" s="10">
        <f t="shared" si="687"/>
        <v>0</v>
      </c>
      <c r="AA574" s="10">
        <f t="shared" si="687"/>
        <v>0</v>
      </c>
      <c r="AB574" s="10">
        <f t="shared" si="687"/>
        <v>0</v>
      </c>
      <c r="AC574" s="10">
        <f t="shared" si="687"/>
        <v>0</v>
      </c>
      <c r="AD574" s="10">
        <f t="shared" si="687"/>
        <v>0</v>
      </c>
      <c r="AE574" s="10">
        <f t="shared" si="687"/>
        <v>0</v>
      </c>
      <c r="AF574" s="10">
        <f t="shared" si="687"/>
        <v>0</v>
      </c>
      <c r="AG574" s="10">
        <f t="shared" si="687"/>
        <v>0</v>
      </c>
      <c r="AH574" s="10">
        <f t="shared" si="687"/>
        <v>0</v>
      </c>
      <c r="AI574" s="10">
        <f t="shared" si="687"/>
        <v>0</v>
      </c>
      <c r="AJ574" s="10">
        <f t="shared" si="687"/>
        <v>0</v>
      </c>
      <c r="AK574" s="10">
        <f t="shared" si="687"/>
        <v>0</v>
      </c>
      <c r="AL574" s="10">
        <f t="shared" si="687"/>
        <v>0</v>
      </c>
      <c r="AM574" s="46">
        <f t="shared" si="687"/>
        <v>0</v>
      </c>
      <c r="AN574" s="10">
        <f t="shared" si="687"/>
        <v>0</v>
      </c>
      <c r="AO574" s="10">
        <f t="shared" si="687"/>
        <v>0</v>
      </c>
      <c r="AP574" s="10">
        <f t="shared" si="687"/>
        <v>0</v>
      </c>
      <c r="AQ574" s="10">
        <f t="shared" si="687"/>
        <v>0</v>
      </c>
      <c r="AR574" s="10">
        <f t="shared" si="687"/>
        <v>0</v>
      </c>
      <c r="AS574" s="10">
        <f t="shared" si="687"/>
        <v>0</v>
      </c>
      <c r="AT574" s="10">
        <f t="shared" si="687"/>
        <v>0</v>
      </c>
      <c r="AU574" s="10">
        <f t="shared" si="687"/>
        <v>0</v>
      </c>
      <c r="AV574" s="10">
        <f t="shared" si="687"/>
        <v>0</v>
      </c>
      <c r="AW574" s="10">
        <f t="shared" si="687"/>
        <v>0</v>
      </c>
      <c r="AX574" s="10">
        <f t="shared" si="687"/>
        <v>0</v>
      </c>
    </row>
    <row r="575" spans="1:50" x14ac:dyDescent="0.2">
      <c r="A575" s="8"/>
      <c r="B575" s="8"/>
      <c r="C575" s="8" t="s">
        <v>34</v>
      </c>
      <c r="D575" s="8"/>
      <c r="E575" s="80"/>
      <c r="F575" s="10">
        <f t="shared" ref="F575:AX575" si="688">AVERAGE(F546:F570)</f>
        <v>12941.52</v>
      </c>
      <c r="G575" s="10">
        <f t="shared" si="688"/>
        <v>6824.52</v>
      </c>
      <c r="H575" s="10">
        <f t="shared" si="688"/>
        <v>1.7454475699264853</v>
      </c>
      <c r="I575" s="10">
        <f t="shared" si="688"/>
        <v>12319.072</v>
      </c>
      <c r="J575" s="10">
        <f t="shared" si="688"/>
        <v>12.036000000000001</v>
      </c>
      <c r="K575" s="10">
        <f t="shared" si="688"/>
        <v>405.4264</v>
      </c>
      <c r="L575" s="10" t="e">
        <f t="shared" si="688"/>
        <v>#DIV/0!</v>
      </c>
      <c r="M575" s="10">
        <f t="shared" si="688"/>
        <v>4803.92</v>
      </c>
      <c r="N575" s="10">
        <f t="shared" si="688"/>
        <v>4022.28</v>
      </c>
      <c r="O575" s="10">
        <f t="shared" si="688"/>
        <v>51.72</v>
      </c>
      <c r="P575" s="10">
        <f t="shared" si="688"/>
        <v>2982.36</v>
      </c>
      <c r="Q575" s="10">
        <f t="shared" si="688"/>
        <v>3515.28</v>
      </c>
      <c r="R575" s="10" t="e">
        <f t="shared" si="688"/>
        <v>#DIV/0!</v>
      </c>
      <c r="S575" s="10">
        <f t="shared" si="688"/>
        <v>0</v>
      </c>
      <c r="T575" s="10">
        <f t="shared" si="688"/>
        <v>0</v>
      </c>
      <c r="U575" s="10">
        <f t="shared" si="688"/>
        <v>0</v>
      </c>
      <c r="V575" s="10">
        <f t="shared" si="688"/>
        <v>0</v>
      </c>
      <c r="W575" s="10">
        <f t="shared" si="688"/>
        <v>0</v>
      </c>
      <c r="X575" s="10">
        <f t="shared" si="688"/>
        <v>0</v>
      </c>
      <c r="Y575" s="10">
        <f t="shared" si="688"/>
        <v>0</v>
      </c>
      <c r="Z575" s="10">
        <f t="shared" si="688"/>
        <v>0</v>
      </c>
      <c r="AA575" s="10">
        <f t="shared" si="688"/>
        <v>0</v>
      </c>
      <c r="AB575" s="10">
        <f t="shared" si="688"/>
        <v>0</v>
      </c>
      <c r="AC575" s="10">
        <f t="shared" si="688"/>
        <v>0</v>
      </c>
      <c r="AD575" s="10">
        <f t="shared" si="688"/>
        <v>0</v>
      </c>
      <c r="AE575" s="10">
        <f t="shared" si="688"/>
        <v>0</v>
      </c>
      <c r="AF575" s="10">
        <f t="shared" si="688"/>
        <v>0</v>
      </c>
      <c r="AG575" s="10">
        <f t="shared" si="688"/>
        <v>0</v>
      </c>
      <c r="AH575" s="10">
        <f t="shared" si="688"/>
        <v>0</v>
      </c>
      <c r="AI575" s="10">
        <f t="shared" si="688"/>
        <v>0</v>
      </c>
      <c r="AJ575" s="10">
        <f t="shared" si="688"/>
        <v>0</v>
      </c>
      <c r="AK575" s="10">
        <f t="shared" si="688"/>
        <v>0</v>
      </c>
      <c r="AL575" s="10">
        <f t="shared" si="688"/>
        <v>0</v>
      </c>
      <c r="AM575" s="46">
        <f t="shared" si="688"/>
        <v>0</v>
      </c>
      <c r="AN575" s="10">
        <f t="shared" si="688"/>
        <v>0</v>
      </c>
      <c r="AO575" s="10">
        <f t="shared" si="688"/>
        <v>0</v>
      </c>
      <c r="AP575" s="10">
        <f t="shared" si="688"/>
        <v>0</v>
      </c>
      <c r="AQ575" s="10">
        <f t="shared" si="688"/>
        <v>0</v>
      </c>
      <c r="AR575" s="10">
        <f t="shared" si="688"/>
        <v>0</v>
      </c>
      <c r="AS575" s="10">
        <f t="shared" si="688"/>
        <v>0</v>
      </c>
      <c r="AT575" s="10">
        <f t="shared" si="688"/>
        <v>0</v>
      </c>
      <c r="AU575" s="10">
        <f t="shared" si="688"/>
        <v>0</v>
      </c>
      <c r="AV575" s="10">
        <f t="shared" si="688"/>
        <v>0</v>
      </c>
      <c r="AW575" s="10">
        <f t="shared" si="688"/>
        <v>0</v>
      </c>
      <c r="AX575" s="10">
        <f t="shared" si="688"/>
        <v>0</v>
      </c>
    </row>
    <row r="576" spans="1:50" ht="13.5" thickBot="1" x14ac:dyDescent="0.25">
      <c r="A576" s="16"/>
      <c r="B576" s="16"/>
      <c r="C576" s="16" t="s">
        <v>35</v>
      </c>
      <c r="D576" s="16"/>
      <c r="E576" s="80"/>
      <c r="F576" s="18">
        <f t="shared" ref="F576:AX576" si="689">MEDIAN(F546:F570)</f>
        <v>6460</v>
      </c>
      <c r="G576" s="18">
        <f t="shared" si="689"/>
        <v>4248</v>
      </c>
      <c r="H576" s="18">
        <f t="shared" si="689"/>
        <v>1.7511387163561076</v>
      </c>
      <c r="I576" s="18">
        <f t="shared" si="689"/>
        <v>6022.3</v>
      </c>
      <c r="J576" s="18">
        <f t="shared" si="689"/>
        <v>1.2</v>
      </c>
      <c r="K576" s="18">
        <f t="shared" si="689"/>
        <v>431</v>
      </c>
      <c r="L576" s="18" t="e">
        <f t="shared" si="689"/>
        <v>#NUM!</v>
      </c>
      <c r="M576" s="18">
        <f t="shared" si="689"/>
        <v>2064</v>
      </c>
      <c r="N576" s="18">
        <f t="shared" si="689"/>
        <v>1935</v>
      </c>
      <c r="O576" s="18">
        <f t="shared" si="689"/>
        <v>0</v>
      </c>
      <c r="P576" s="18">
        <f t="shared" si="689"/>
        <v>0</v>
      </c>
      <c r="Q576" s="18">
        <f t="shared" si="689"/>
        <v>0</v>
      </c>
      <c r="R576" s="18" t="e">
        <f t="shared" si="689"/>
        <v>#NUM!</v>
      </c>
      <c r="S576" s="18">
        <f t="shared" si="689"/>
        <v>0</v>
      </c>
      <c r="T576" s="18">
        <f t="shared" si="689"/>
        <v>0</v>
      </c>
      <c r="U576" s="18">
        <f t="shared" si="689"/>
        <v>0</v>
      </c>
      <c r="V576" s="18">
        <f t="shared" si="689"/>
        <v>0</v>
      </c>
      <c r="W576" s="18">
        <f t="shared" si="689"/>
        <v>0</v>
      </c>
      <c r="X576" s="18">
        <f t="shared" si="689"/>
        <v>0</v>
      </c>
      <c r="Y576" s="18">
        <f t="shared" si="689"/>
        <v>0</v>
      </c>
      <c r="Z576" s="18">
        <f t="shared" si="689"/>
        <v>0</v>
      </c>
      <c r="AA576" s="18">
        <f t="shared" si="689"/>
        <v>0</v>
      </c>
      <c r="AB576" s="18">
        <f t="shared" si="689"/>
        <v>0</v>
      </c>
      <c r="AC576" s="18">
        <f t="shared" si="689"/>
        <v>0</v>
      </c>
      <c r="AD576" s="18">
        <f t="shared" si="689"/>
        <v>0</v>
      </c>
      <c r="AE576" s="18">
        <f t="shared" si="689"/>
        <v>0</v>
      </c>
      <c r="AF576" s="18">
        <f t="shared" si="689"/>
        <v>0</v>
      </c>
      <c r="AG576" s="18">
        <f t="shared" si="689"/>
        <v>0</v>
      </c>
      <c r="AH576" s="18">
        <f t="shared" si="689"/>
        <v>0</v>
      </c>
      <c r="AI576" s="18">
        <f t="shared" si="689"/>
        <v>0</v>
      </c>
      <c r="AJ576" s="18">
        <f t="shared" si="689"/>
        <v>0</v>
      </c>
      <c r="AK576" s="18">
        <f t="shared" si="689"/>
        <v>0</v>
      </c>
      <c r="AL576" s="18">
        <f t="shared" si="689"/>
        <v>0</v>
      </c>
      <c r="AM576" s="47">
        <f t="shared" si="689"/>
        <v>0</v>
      </c>
      <c r="AN576" s="18">
        <f t="shared" si="689"/>
        <v>0</v>
      </c>
      <c r="AO576" s="18">
        <f t="shared" si="689"/>
        <v>0</v>
      </c>
      <c r="AP576" s="18">
        <f t="shared" si="689"/>
        <v>0</v>
      </c>
      <c r="AQ576" s="18">
        <f t="shared" si="689"/>
        <v>0</v>
      </c>
      <c r="AR576" s="18">
        <f t="shared" si="689"/>
        <v>0</v>
      </c>
      <c r="AS576" s="18">
        <f t="shared" si="689"/>
        <v>0</v>
      </c>
      <c r="AT576" s="18">
        <f t="shared" si="689"/>
        <v>0</v>
      </c>
      <c r="AU576" s="18">
        <f t="shared" si="689"/>
        <v>0</v>
      </c>
      <c r="AV576" s="18">
        <f t="shared" si="689"/>
        <v>0</v>
      </c>
      <c r="AW576" s="18">
        <f t="shared" si="689"/>
        <v>0</v>
      </c>
      <c r="AX576" s="18">
        <f t="shared" si="689"/>
        <v>0</v>
      </c>
    </row>
    <row r="577" spans="1:50" ht="13.5" thickTop="1" x14ac:dyDescent="0.2">
      <c r="B577"/>
      <c r="C577" s="5"/>
      <c r="D577" s="5"/>
    </row>
    <row r="578" spans="1:50" ht="13.5" thickBot="1" x14ac:dyDescent="0.25">
      <c r="A578" s="25"/>
      <c r="B578" s="25"/>
      <c r="C578" s="27" t="s">
        <v>22</v>
      </c>
      <c r="D578" s="27"/>
    </row>
    <row r="579" spans="1:50" ht="13.5" thickTop="1" x14ac:dyDescent="0.2">
      <c r="A579" s="8">
        <v>10800</v>
      </c>
      <c r="B579" s="89" t="str">
        <f t="shared" ref="B579:B586" si="690">VLOOKUP($A579,$A$5:$K$132,2,FALSE)</f>
        <v>Bland</v>
      </c>
      <c r="C579" s="9" t="str">
        <f t="shared" ref="C579:C586" si="691">VLOOKUP($A579,$A$5:$K$133,3,FALSE)</f>
        <v>REROC</v>
      </c>
      <c r="D579" s="51" t="str">
        <f t="shared" ref="D579:D586" si="692">VLOOKUP($A579,$A$5:$K$133,4,FALSE)</f>
        <v>N</v>
      </c>
      <c r="E579" s="10" t="str">
        <f t="shared" ref="E579:E586" si="693">VLOOKUP($A579,$A$5:$AX$132,5,FALSE)</f>
        <v>RJO</v>
      </c>
      <c r="F579" s="10">
        <f t="shared" ref="F579:F586" si="694">VLOOKUP($A579,$A$5:$AX$132,6,FALSE)</f>
        <v>5937</v>
      </c>
      <c r="G579" s="10">
        <f t="shared" ref="G579:G586" si="695">VLOOKUP($A579,$A$5:$AX$132,7,FALSE)</f>
        <v>4515</v>
      </c>
      <c r="H579" s="10">
        <f t="shared" ref="H579:H586" si="696">VLOOKUP($A579,$A$5:$AX$132,8,FALSE)</f>
        <v>1.3149501661129568</v>
      </c>
      <c r="I579" s="10">
        <f t="shared" ref="I579:I586" si="697">VLOOKUP($A579,$A$5:$AX$132,9,FALSE)</f>
        <v>8557.7000000000007</v>
      </c>
      <c r="J579" s="10">
        <f t="shared" ref="J579:J586" si="698">VLOOKUP($A579,$A$5:$AX$132,10,FALSE)</f>
        <v>0.7</v>
      </c>
      <c r="K579" s="10">
        <f t="shared" ref="K579:K586" si="699">VLOOKUP($A579,$A$5:$AX$132,11,FALSE)</f>
        <v>450</v>
      </c>
      <c r="L579" s="10" t="str">
        <f t="shared" ref="L579:L586" si="700">VLOOKUP($A579,$A$4:$AX$132,12,FALSE)</f>
        <v>Y</v>
      </c>
      <c r="M579" s="10">
        <f t="shared" ref="M579:M586" si="701">VLOOKUP($A579,$A$4:$AX$132,13,FALSE)</f>
        <v>1889</v>
      </c>
      <c r="N579" s="10">
        <f t="shared" ref="N579:N586" si="702">VLOOKUP($A579,$A$4:$AX$132,14,FALSE)</f>
        <v>0</v>
      </c>
      <c r="O579" s="10">
        <f t="shared" ref="O579:O586" si="703">VLOOKUP($A579,$A$4:$AX$132,15,FALSE)</f>
        <v>0</v>
      </c>
      <c r="P579" s="10">
        <f t="shared" ref="P579:P586" si="704">VLOOKUP($A579,$A$4:$AX$132,16,FALSE)</f>
        <v>0</v>
      </c>
      <c r="Q579" s="10">
        <f t="shared" ref="Q579:Q586" si="705">VLOOKUP($A579,$A$4:$AX$132,17,FALSE)</f>
        <v>0</v>
      </c>
      <c r="R579" s="10" t="str">
        <f t="shared" ref="R579:R586" si="706">VLOOKUP($A579,$A$4:$AX$132,18,FALSE)</f>
        <v>Yes</v>
      </c>
      <c r="S579" s="10" t="str">
        <f t="shared" ref="S579:S586" si="707">VLOOKUP($A579,$A$4:$AX$132,19,FALSE)</f>
        <v>West Wyalong Landfill, Racecourse Road, West Wyalong, NSW 2671</v>
      </c>
      <c r="T579" s="10">
        <f t="shared" ref="T579:T586" si="708">VLOOKUP($A579,$A$4:$AX$132,20,FALSE)</f>
        <v>0</v>
      </c>
      <c r="U579" s="10">
        <f t="shared" ref="U579:U586" si="709">VLOOKUP($A579,$A$4:$AX$132,21,FALSE)</f>
        <v>0</v>
      </c>
      <c r="V579" s="10">
        <f t="shared" ref="V579:V586" si="710">VLOOKUP($A579,$A$4:$AX$132,22,FALSE)</f>
        <v>0</v>
      </c>
      <c r="W579" s="10">
        <f t="shared" ref="W579:W586" si="711">VLOOKUP($A579,$A$4:$AX$132,23,FALSE)</f>
        <v>0</v>
      </c>
      <c r="X579" s="10">
        <f t="shared" ref="X579:X586" si="712">VLOOKUP($A579,$A$4:$AX$132,24,FALSE)</f>
        <v>0</v>
      </c>
      <c r="Y579" s="10">
        <f t="shared" ref="Y579:Y586" si="713">VLOOKUP($A579,$A$4:$AX$132,25,FALSE)</f>
        <v>0</v>
      </c>
      <c r="Z579" s="10">
        <f t="shared" ref="Z579:Z586" si="714">VLOOKUP($A579,$A$4:$AX$132,26,FALSE)</f>
        <v>0</v>
      </c>
      <c r="AA579" s="10">
        <f t="shared" ref="AA579:AA586" si="715">VLOOKUP($A579,$A$4:$AX$132,27,FALSE)</f>
        <v>0</v>
      </c>
      <c r="AB579" s="10">
        <f t="shared" ref="AB579:AB586" si="716">VLOOKUP($A579,$A$4:$AX$132,28,FALSE)</f>
        <v>0</v>
      </c>
      <c r="AC579" s="10">
        <f t="shared" ref="AC579:AC586" si="717">VLOOKUP($A579,$A$4:$AX$132,29,FALSE)</f>
        <v>0</v>
      </c>
      <c r="AD579" s="10">
        <f t="shared" ref="AD579:AD586" si="718">VLOOKUP($A579,$A$4:$AX$132,30,FALSE)</f>
        <v>0</v>
      </c>
      <c r="AE579" s="10">
        <f t="shared" ref="AE579:AE586" si="719">VLOOKUP($A579,$A$4:$AX$132,31,FALSE)</f>
        <v>0</v>
      </c>
      <c r="AF579" s="10">
        <f t="shared" ref="AF579:AF586" si="720">VLOOKUP($A579,$A$4:$AX$132,32,FALSE)</f>
        <v>0</v>
      </c>
      <c r="AG579" s="10">
        <f t="shared" ref="AG579:AG586" si="721">VLOOKUP($A579,$A$4:$AX$132,33,FALSE)</f>
        <v>0</v>
      </c>
      <c r="AH579" s="10">
        <f t="shared" ref="AH579:AH586" si="722">VLOOKUP($A579,$A$4:$AX$132,34,FALSE)</f>
        <v>0</v>
      </c>
      <c r="AI579" s="10">
        <f t="shared" ref="AI579:AI586" si="723">VLOOKUP($A579,$A$4:$AX$132,35,FALSE)</f>
        <v>0</v>
      </c>
      <c r="AJ579" s="10">
        <f t="shared" ref="AJ579:AJ586" si="724">VLOOKUP($A579,$A$4:$AX$132,36,FALSE)</f>
        <v>0</v>
      </c>
      <c r="AK579" s="10">
        <f t="shared" ref="AK579:AK586" si="725">VLOOKUP($A579,$A$4:$AX$132,37,FALSE)</f>
        <v>0</v>
      </c>
      <c r="AL579" s="10">
        <f t="shared" ref="AL579:AL586" si="726">VLOOKUP($A579,$A$4:$AX$132,38,FALSE)</f>
        <v>0</v>
      </c>
      <c r="AM579" s="10">
        <f t="shared" ref="AM579:AM586" si="727">VLOOKUP($A579,$A$4:$AX$132,39,FALSE)</f>
        <v>0</v>
      </c>
      <c r="AN579" s="46">
        <f t="shared" ref="AN579:AN586" si="728">VLOOKUP($A579,$A$4:$AX$132,40,FALSE)</f>
        <v>0</v>
      </c>
      <c r="AO579" s="10">
        <f t="shared" ref="AO579:AO586" si="729">VLOOKUP($A579,$A$4:$AX$132,41,FALSE)</f>
        <v>0</v>
      </c>
      <c r="AP579" s="10">
        <f t="shared" ref="AP579:AP586" si="730">VLOOKUP($A579,$A$4:$AX$132,42,FALSE)</f>
        <v>0</v>
      </c>
      <c r="AQ579" s="10">
        <f t="shared" ref="AQ579:AQ586" si="731">VLOOKUP($A579,$A$4:$AX$132,43,FALSE)</f>
        <v>0</v>
      </c>
      <c r="AR579" s="10">
        <f t="shared" ref="AR579:AR586" si="732">VLOOKUP($A579,$A$4:$AX$132,44,FALSE)</f>
        <v>0</v>
      </c>
      <c r="AS579" s="10">
        <f t="shared" ref="AS579:AS586" si="733">VLOOKUP($A579,$A$4:$AX$132,45,FALSE)</f>
        <v>0</v>
      </c>
      <c r="AT579" s="10">
        <f t="shared" ref="AT579:AT586" si="734">VLOOKUP($A579,$A$4:$AX$132,46,FALSE)</f>
        <v>0</v>
      </c>
      <c r="AU579" s="10">
        <f t="shared" ref="AU579:AU586" si="735">VLOOKUP($A579,$A$4:$AX$132,47,FALSE)</f>
        <v>0</v>
      </c>
      <c r="AV579" s="10">
        <f t="shared" ref="AV579:AV586" si="736">VLOOKUP($A579,$A$4:$AX$132,48,FALSE)</f>
        <v>0</v>
      </c>
      <c r="AW579" s="10">
        <f t="shared" ref="AW579:AW586" si="737">VLOOKUP($A579,$A$4:$AX$132,49,FALSE)</f>
        <v>0</v>
      </c>
      <c r="AX579" s="10">
        <f t="shared" ref="AX579:AX586" si="738">VLOOKUP($A579,$A$4:$AX$132,50,FALSE)</f>
        <v>0</v>
      </c>
    </row>
    <row r="580" spans="1:50" x14ac:dyDescent="0.2">
      <c r="A580" s="8">
        <v>12000</v>
      </c>
      <c r="B580" s="89" t="str">
        <f t="shared" si="690"/>
        <v>Coolamon</v>
      </c>
      <c r="C580" s="9" t="str">
        <f t="shared" si="691"/>
        <v>REROC</v>
      </c>
      <c r="D580" s="51" t="str">
        <f t="shared" si="692"/>
        <v>N</v>
      </c>
      <c r="E580" s="10" t="str">
        <f t="shared" si="693"/>
        <v>RJO</v>
      </c>
      <c r="F580" s="10">
        <f t="shared" si="694"/>
        <v>4291</v>
      </c>
      <c r="G580" s="10">
        <f t="shared" si="695"/>
        <v>3046</v>
      </c>
      <c r="H580" s="10">
        <f t="shared" si="696"/>
        <v>1.4087327642810243</v>
      </c>
      <c r="I580" s="10">
        <f t="shared" si="697"/>
        <v>2430.9</v>
      </c>
      <c r="J580" s="10">
        <f t="shared" si="698"/>
        <v>1.8</v>
      </c>
      <c r="K580" s="10">
        <f t="shared" si="699"/>
        <v>295</v>
      </c>
      <c r="L580" s="10" t="str">
        <f t="shared" si="700"/>
        <v>Y</v>
      </c>
      <c r="M580" s="10">
        <f t="shared" si="701"/>
        <v>1746</v>
      </c>
      <c r="N580" s="10">
        <f t="shared" si="702"/>
        <v>1721</v>
      </c>
      <c r="O580" s="10">
        <f t="shared" si="703"/>
        <v>0</v>
      </c>
      <c r="P580" s="10">
        <f t="shared" si="704"/>
        <v>1266</v>
      </c>
      <c r="Q580" s="10">
        <f t="shared" si="705"/>
        <v>3046</v>
      </c>
      <c r="R580" s="10" t="str">
        <f t="shared" si="706"/>
        <v>No</v>
      </c>
      <c r="S580" s="10" t="str">
        <f t="shared" si="707"/>
        <v>Ardlethan Landfill - Newell Highway, Ardlethan</v>
      </c>
      <c r="T580" s="10" t="str">
        <f t="shared" si="708"/>
        <v>Coolamon Landfill - 102 Dyces Lane, Coolamon</v>
      </c>
      <c r="U580" s="10" t="str">
        <f t="shared" si="709"/>
        <v>Ganmain Landfill - Grave Street, Ganmain</v>
      </c>
      <c r="V580" s="10" t="str">
        <f t="shared" si="710"/>
        <v>Marrar Landfill - Easticks Lane, Coolamon</v>
      </c>
      <c r="W580" s="10">
        <f t="shared" si="711"/>
        <v>0</v>
      </c>
      <c r="X580" s="10">
        <f t="shared" si="712"/>
        <v>0</v>
      </c>
      <c r="Y580" s="10">
        <f t="shared" si="713"/>
        <v>0</v>
      </c>
      <c r="Z580" s="10">
        <f t="shared" si="714"/>
        <v>0</v>
      </c>
      <c r="AA580" s="10">
        <f t="shared" si="715"/>
        <v>0</v>
      </c>
      <c r="AB580" s="10">
        <f t="shared" si="716"/>
        <v>0</v>
      </c>
      <c r="AC580" s="10">
        <f t="shared" si="717"/>
        <v>0</v>
      </c>
      <c r="AD580" s="10">
        <f t="shared" si="718"/>
        <v>0</v>
      </c>
      <c r="AE580" s="10">
        <f t="shared" si="719"/>
        <v>0</v>
      </c>
      <c r="AF580" s="10">
        <f t="shared" si="720"/>
        <v>0</v>
      </c>
      <c r="AG580" s="10">
        <f t="shared" si="721"/>
        <v>0</v>
      </c>
      <c r="AH580" s="10">
        <f t="shared" si="722"/>
        <v>0</v>
      </c>
      <c r="AI580" s="10">
        <f t="shared" si="723"/>
        <v>0</v>
      </c>
      <c r="AJ580" s="10">
        <f t="shared" si="724"/>
        <v>0</v>
      </c>
      <c r="AK580" s="10">
        <f t="shared" si="725"/>
        <v>0</v>
      </c>
      <c r="AL580" s="10">
        <f t="shared" si="726"/>
        <v>0</v>
      </c>
      <c r="AM580" s="10">
        <f t="shared" si="727"/>
        <v>0</v>
      </c>
      <c r="AN580" s="46">
        <f t="shared" si="728"/>
        <v>0</v>
      </c>
      <c r="AO580" s="10">
        <f t="shared" si="729"/>
        <v>0</v>
      </c>
      <c r="AP580" s="10">
        <f t="shared" si="730"/>
        <v>0</v>
      </c>
      <c r="AQ580" s="10">
        <f t="shared" si="731"/>
        <v>0</v>
      </c>
      <c r="AR580" s="10">
        <f t="shared" si="732"/>
        <v>0</v>
      </c>
      <c r="AS580" s="10">
        <f t="shared" si="733"/>
        <v>0</v>
      </c>
      <c r="AT580" s="10">
        <f t="shared" si="734"/>
        <v>0</v>
      </c>
      <c r="AU580" s="10">
        <f t="shared" si="735"/>
        <v>0</v>
      </c>
      <c r="AV580" s="10">
        <f t="shared" si="736"/>
        <v>0</v>
      </c>
      <c r="AW580" s="10">
        <f t="shared" si="737"/>
        <v>0</v>
      </c>
      <c r="AX580" s="10">
        <f t="shared" si="738"/>
        <v>0</v>
      </c>
    </row>
    <row r="581" spans="1:50" x14ac:dyDescent="0.2">
      <c r="A581" s="8">
        <v>12160</v>
      </c>
      <c r="B581" s="89" t="str">
        <f t="shared" si="690"/>
        <v>Cootamundra - Gundagai</v>
      </c>
      <c r="C581" s="9" t="str">
        <f t="shared" si="691"/>
        <v>REROC</v>
      </c>
      <c r="D581" s="51" t="str">
        <f t="shared" si="692"/>
        <v>N</v>
      </c>
      <c r="E581" s="10" t="str">
        <f t="shared" si="693"/>
        <v>RJO</v>
      </c>
      <c r="F581" s="10">
        <f t="shared" si="694"/>
        <v>11225</v>
      </c>
      <c r="G581" s="10">
        <f t="shared" si="695"/>
        <v>6213</v>
      </c>
      <c r="H581" s="10">
        <f t="shared" si="696"/>
        <v>1.8066956381780139</v>
      </c>
      <c r="I581" s="10">
        <f t="shared" si="697"/>
        <v>3981.4</v>
      </c>
      <c r="J581" s="10">
        <f t="shared" si="698"/>
        <v>2.8</v>
      </c>
      <c r="K581" s="10">
        <f t="shared" si="699"/>
        <v>554.24</v>
      </c>
      <c r="L581" s="10" t="str">
        <f t="shared" si="700"/>
        <v>Y</v>
      </c>
      <c r="M581" s="10">
        <f t="shared" si="701"/>
        <v>3936</v>
      </c>
      <c r="N581" s="10">
        <f t="shared" si="702"/>
        <v>3936</v>
      </c>
      <c r="O581" s="10">
        <f t="shared" si="703"/>
        <v>2578</v>
      </c>
      <c r="P581" s="10">
        <f t="shared" si="704"/>
        <v>1213</v>
      </c>
      <c r="Q581" s="10">
        <f t="shared" si="705"/>
        <v>0</v>
      </c>
      <c r="R581" s="10" t="str">
        <f t="shared" si="706"/>
        <v>No</v>
      </c>
      <c r="S581" s="10" t="str">
        <f t="shared" si="707"/>
        <v>Cootamundra Waste Facility</v>
      </c>
      <c r="T581" s="10" t="str">
        <f t="shared" si="708"/>
        <v>Gundagai Waste Facility</v>
      </c>
      <c r="U581" s="10">
        <f t="shared" si="709"/>
        <v>0</v>
      </c>
      <c r="V581" s="10">
        <f t="shared" si="710"/>
        <v>0</v>
      </c>
      <c r="W581" s="10">
        <f t="shared" si="711"/>
        <v>0</v>
      </c>
      <c r="X581" s="10">
        <f t="shared" si="712"/>
        <v>0</v>
      </c>
      <c r="Y581" s="10">
        <f t="shared" si="713"/>
        <v>0</v>
      </c>
      <c r="Z581" s="10">
        <f t="shared" si="714"/>
        <v>0</v>
      </c>
      <c r="AA581" s="10">
        <f t="shared" si="715"/>
        <v>0</v>
      </c>
      <c r="AB581" s="10">
        <f t="shared" si="716"/>
        <v>0</v>
      </c>
      <c r="AC581" s="10">
        <f t="shared" si="717"/>
        <v>0</v>
      </c>
      <c r="AD581" s="10">
        <f t="shared" si="718"/>
        <v>0</v>
      </c>
      <c r="AE581" s="10">
        <f t="shared" si="719"/>
        <v>0</v>
      </c>
      <c r="AF581" s="10">
        <f t="shared" si="720"/>
        <v>0</v>
      </c>
      <c r="AG581" s="10">
        <f t="shared" si="721"/>
        <v>0</v>
      </c>
      <c r="AH581" s="10">
        <f t="shared" si="722"/>
        <v>0</v>
      </c>
      <c r="AI581" s="10">
        <f t="shared" si="723"/>
        <v>0</v>
      </c>
      <c r="AJ581" s="10">
        <f t="shared" si="724"/>
        <v>0</v>
      </c>
      <c r="AK581" s="10">
        <f t="shared" si="725"/>
        <v>0</v>
      </c>
      <c r="AL581" s="10">
        <f t="shared" si="726"/>
        <v>0</v>
      </c>
      <c r="AM581" s="10">
        <f t="shared" si="727"/>
        <v>0</v>
      </c>
      <c r="AN581" s="46">
        <f t="shared" si="728"/>
        <v>0</v>
      </c>
      <c r="AO581" s="10">
        <f t="shared" si="729"/>
        <v>0</v>
      </c>
      <c r="AP581" s="10">
        <f t="shared" si="730"/>
        <v>0</v>
      </c>
      <c r="AQ581" s="10">
        <f t="shared" si="731"/>
        <v>0</v>
      </c>
      <c r="AR581" s="10">
        <f t="shared" si="732"/>
        <v>0</v>
      </c>
      <c r="AS581" s="10">
        <f t="shared" si="733"/>
        <v>0</v>
      </c>
      <c r="AT581" s="10">
        <f t="shared" si="734"/>
        <v>0</v>
      </c>
      <c r="AU581" s="10">
        <f t="shared" si="735"/>
        <v>0</v>
      </c>
      <c r="AV581" s="10">
        <f t="shared" si="736"/>
        <v>0</v>
      </c>
      <c r="AW581" s="10">
        <f t="shared" si="737"/>
        <v>0</v>
      </c>
      <c r="AX581" s="10">
        <f t="shared" si="738"/>
        <v>0</v>
      </c>
    </row>
    <row r="582" spans="1:50" x14ac:dyDescent="0.2">
      <c r="A582" s="8">
        <v>13340</v>
      </c>
      <c r="B582" s="89" t="str">
        <f>VLOOKUP($A582,$A$5:$K$132,2,FALSE)</f>
        <v>Greater Hume Shire</v>
      </c>
      <c r="C582" s="9" t="str">
        <f>VLOOKUP($A582,$A$5:$K$133,3,FALSE)</f>
        <v>REROC</v>
      </c>
      <c r="D582" s="51" t="str">
        <f>VLOOKUP($A582,$A$5:$K$133,4,FALSE)</f>
        <v>N</v>
      </c>
      <c r="E582" s="10" t="str">
        <f>VLOOKUP($A582,$A$5:$AX$132,5,FALSE)</f>
        <v>RJO</v>
      </c>
      <c r="F582" s="10">
        <f>VLOOKUP($A582,$A$5:$AX$132,6,FALSE)</f>
        <v>10841</v>
      </c>
      <c r="G582" s="10">
        <f>VLOOKUP($A582,$A$5:$AX$132,7,FALSE)</f>
        <v>6690</v>
      </c>
      <c r="H582" s="10">
        <f>VLOOKUP($A582,$A$5:$AX$132,8,FALSE)</f>
        <v>1.6204783258594917</v>
      </c>
      <c r="I582" s="10">
        <f>VLOOKUP($A582,$A$5:$AX$132,9,FALSE)</f>
        <v>5749.5</v>
      </c>
      <c r="J582" s="10">
        <f>VLOOKUP($A582,$A$5:$AX$132,10,FALSE)</f>
        <v>1.9</v>
      </c>
      <c r="K582" s="10">
        <f>VLOOKUP($A582,$A$5:$AX$132,11,FALSE)</f>
        <v>272</v>
      </c>
      <c r="L582" s="10" t="str">
        <f>VLOOKUP($A582,$A$4:$AX$132,12,FALSE)</f>
        <v>Y</v>
      </c>
      <c r="M582" s="10">
        <f>VLOOKUP($A582,$A$4:$AX$132,13,FALSE)</f>
        <v>3854</v>
      </c>
      <c r="N582" s="10">
        <f>VLOOKUP($A582,$A$4:$AX$132,14,FALSE)</f>
        <v>3724</v>
      </c>
      <c r="O582" s="10">
        <f>VLOOKUP($A582,$A$4:$AX$132,15,FALSE)</f>
        <v>0</v>
      </c>
      <c r="P582" s="10">
        <f>VLOOKUP($A582,$A$4:$AX$132,16,FALSE)</f>
        <v>0</v>
      </c>
      <c r="Q582" s="10">
        <f>VLOOKUP($A582,$A$4:$AX$132,17,FALSE)</f>
        <v>0</v>
      </c>
      <c r="R582" s="10" t="str">
        <f>VLOOKUP($A582,$A$4:$AX$132,18,FALSE)</f>
        <v>Yes</v>
      </c>
      <c r="S582" s="10" t="str">
        <f>VLOOKUP($A582,$A$4:$AX$132,19,FALSE)</f>
        <v>Culcairn landfill</v>
      </c>
      <c r="T582" s="10" t="str">
        <f>VLOOKUP($A582,$A$4:$AX$132,20,FALSE)</f>
        <v>Brocklesby Transfer Station</v>
      </c>
      <c r="U582" s="10" t="str">
        <f>VLOOKUP($A582,$A$4:$AX$132,21,FALSE)</f>
        <v>Gerogery transfer Station</v>
      </c>
      <c r="V582" s="10" t="str">
        <f>VLOOKUP($A582,$A$4:$AX$132,22,FALSE)</f>
        <v>Burrumbuttock Transfer Station</v>
      </c>
      <c r="W582" s="10" t="str">
        <f>VLOOKUP($A582,$A$4:$AX$132,23,FALSE)</f>
        <v>Jindera  Transfer Station</v>
      </c>
      <c r="X582" s="10" t="str">
        <f>VLOOKUP($A582,$A$4:$AX$132,24,FALSE)</f>
        <v>Holbrook</v>
      </c>
      <c r="Y582" s="10" t="str">
        <f>VLOOKUP($A582,$A$4:$AX$132,25,FALSE)</f>
        <v>Henty  Transfer Station</v>
      </c>
      <c r="Z582" s="10">
        <f>VLOOKUP($A582,$A$4:$AX$132,26,FALSE)</f>
        <v>0</v>
      </c>
      <c r="AA582" s="10">
        <f>VLOOKUP($A582,$A$4:$AX$132,27,FALSE)</f>
        <v>0</v>
      </c>
      <c r="AB582" s="10">
        <f>VLOOKUP($A582,$A$4:$AX$132,28,FALSE)</f>
        <v>0</v>
      </c>
      <c r="AC582" s="10">
        <f>VLOOKUP($A582,$A$4:$AX$132,29,FALSE)</f>
        <v>0</v>
      </c>
      <c r="AD582" s="10">
        <f>VLOOKUP($A582,$A$4:$AX$132,30,FALSE)</f>
        <v>0</v>
      </c>
      <c r="AE582" s="10">
        <f>VLOOKUP($A582,$A$4:$AX$132,31,FALSE)</f>
        <v>0</v>
      </c>
      <c r="AF582" s="10">
        <f>VLOOKUP($A582,$A$4:$AX$132,32,FALSE)</f>
        <v>0</v>
      </c>
      <c r="AG582" s="10">
        <f>VLOOKUP($A582,$A$4:$AX$132,33,FALSE)</f>
        <v>0</v>
      </c>
      <c r="AH582" s="10">
        <f>VLOOKUP($A582,$A$4:$AX$132,34,FALSE)</f>
        <v>0</v>
      </c>
      <c r="AI582" s="10">
        <f>VLOOKUP($A582,$A$4:$AX$132,35,FALSE)</f>
        <v>0</v>
      </c>
      <c r="AJ582" s="10">
        <f>VLOOKUP($A582,$A$4:$AX$132,36,FALSE)</f>
        <v>0</v>
      </c>
      <c r="AK582" s="10">
        <f>VLOOKUP($A582,$A$4:$AX$132,37,FALSE)</f>
        <v>0</v>
      </c>
      <c r="AL582" s="10">
        <f>VLOOKUP($A582,$A$4:$AX$132,38,FALSE)</f>
        <v>0</v>
      </c>
      <c r="AM582" s="10">
        <f>VLOOKUP($A582,$A$4:$AX$132,39,FALSE)</f>
        <v>0</v>
      </c>
      <c r="AN582" s="46">
        <f>VLOOKUP($A582,$A$4:$AX$132,40,FALSE)</f>
        <v>0</v>
      </c>
      <c r="AO582" s="10">
        <f>VLOOKUP($A582,$A$4:$AX$132,41,FALSE)</f>
        <v>0</v>
      </c>
      <c r="AP582" s="10">
        <f>VLOOKUP($A582,$A$4:$AX$132,42,FALSE)</f>
        <v>0</v>
      </c>
      <c r="AQ582" s="10">
        <f>VLOOKUP($A582,$A$4:$AX$132,43,FALSE)</f>
        <v>0</v>
      </c>
      <c r="AR582" s="10">
        <f>VLOOKUP($A582,$A$4:$AX$132,44,FALSE)</f>
        <v>0</v>
      </c>
      <c r="AS582" s="10">
        <f>VLOOKUP($A582,$A$4:$AX$132,45,FALSE)</f>
        <v>0</v>
      </c>
      <c r="AT582" s="10">
        <f>VLOOKUP($A582,$A$4:$AX$132,46,FALSE)</f>
        <v>0</v>
      </c>
      <c r="AU582" s="10">
        <f>VLOOKUP($A582,$A$4:$AX$132,47,FALSE)</f>
        <v>0</v>
      </c>
      <c r="AV582" s="10">
        <f>VLOOKUP($A582,$A$4:$AX$132,48,FALSE)</f>
        <v>0</v>
      </c>
      <c r="AW582" s="10">
        <f>VLOOKUP($A582,$A$4:$AX$132,49,FALSE)</f>
        <v>0</v>
      </c>
      <c r="AX582" s="10">
        <f>VLOOKUP($A582,$A$4:$AX$132,50,FALSE)</f>
        <v>0</v>
      </c>
    </row>
    <row r="583" spans="1:50" x14ac:dyDescent="0.2">
      <c r="A583" s="8">
        <v>14300</v>
      </c>
      <c r="B583" s="89" t="str">
        <f t="shared" si="690"/>
        <v>Junee</v>
      </c>
      <c r="C583" s="9" t="str">
        <f t="shared" si="691"/>
        <v>REROC</v>
      </c>
      <c r="D583" s="51" t="str">
        <f t="shared" si="692"/>
        <v>N</v>
      </c>
      <c r="E583" s="10" t="str">
        <f t="shared" si="693"/>
        <v>RJO</v>
      </c>
      <c r="F583" s="10">
        <f t="shared" si="694"/>
        <v>6676</v>
      </c>
      <c r="G583" s="10">
        <f t="shared" si="695"/>
        <v>3087</v>
      </c>
      <c r="H583" s="10">
        <f t="shared" si="696"/>
        <v>2.1626174279235504</v>
      </c>
      <c r="I583" s="10">
        <f t="shared" si="697"/>
        <v>2030</v>
      </c>
      <c r="J583" s="10">
        <f t="shared" si="698"/>
        <v>3.3</v>
      </c>
      <c r="K583" s="10">
        <f t="shared" si="699"/>
        <v>400.8</v>
      </c>
      <c r="L583" s="10" t="str">
        <f t="shared" si="700"/>
        <v>Y</v>
      </c>
      <c r="M583" s="10">
        <f t="shared" si="701"/>
        <v>1963</v>
      </c>
      <c r="N583" s="10">
        <f t="shared" si="702"/>
        <v>1952</v>
      </c>
      <c r="O583" s="10">
        <f t="shared" si="703"/>
        <v>0</v>
      </c>
      <c r="P583" s="10">
        <f t="shared" si="704"/>
        <v>1702</v>
      </c>
      <c r="Q583" s="10">
        <f t="shared" si="705"/>
        <v>0</v>
      </c>
      <c r="R583" s="10" t="str">
        <f t="shared" si="706"/>
        <v>Yes</v>
      </c>
      <c r="S583" s="10" t="str">
        <f t="shared" si="707"/>
        <v xml:space="preserve">Junee Landfill Waste Facility, Lot 111 Kahmoo Lane, Junee </v>
      </c>
      <c r="T583" s="10">
        <f t="shared" si="708"/>
        <v>0</v>
      </c>
      <c r="U583" s="10">
        <f t="shared" si="709"/>
        <v>0</v>
      </c>
      <c r="V583" s="10">
        <f t="shared" si="710"/>
        <v>0</v>
      </c>
      <c r="W583" s="10">
        <f t="shared" si="711"/>
        <v>0</v>
      </c>
      <c r="X583" s="10">
        <f t="shared" si="712"/>
        <v>0</v>
      </c>
      <c r="Y583" s="10">
        <f t="shared" si="713"/>
        <v>0</v>
      </c>
      <c r="Z583" s="10">
        <f t="shared" si="714"/>
        <v>0</v>
      </c>
      <c r="AA583" s="10">
        <f t="shared" si="715"/>
        <v>0</v>
      </c>
      <c r="AB583" s="10">
        <f t="shared" si="716"/>
        <v>0</v>
      </c>
      <c r="AC583" s="10">
        <f t="shared" si="717"/>
        <v>0</v>
      </c>
      <c r="AD583" s="10">
        <f t="shared" si="718"/>
        <v>0</v>
      </c>
      <c r="AE583" s="10">
        <f t="shared" si="719"/>
        <v>0</v>
      </c>
      <c r="AF583" s="10">
        <f t="shared" si="720"/>
        <v>0</v>
      </c>
      <c r="AG583" s="10">
        <f t="shared" si="721"/>
        <v>0</v>
      </c>
      <c r="AH583" s="10">
        <f t="shared" si="722"/>
        <v>0</v>
      </c>
      <c r="AI583" s="10">
        <f t="shared" si="723"/>
        <v>0</v>
      </c>
      <c r="AJ583" s="10">
        <f t="shared" si="724"/>
        <v>0</v>
      </c>
      <c r="AK583" s="10">
        <f t="shared" si="725"/>
        <v>0</v>
      </c>
      <c r="AL583" s="10">
        <f t="shared" si="726"/>
        <v>0</v>
      </c>
      <c r="AM583" s="10">
        <f t="shared" si="727"/>
        <v>0</v>
      </c>
      <c r="AN583" s="46">
        <f t="shared" si="728"/>
        <v>0</v>
      </c>
      <c r="AO583" s="10">
        <f t="shared" si="729"/>
        <v>0</v>
      </c>
      <c r="AP583" s="10">
        <f t="shared" si="730"/>
        <v>0</v>
      </c>
      <c r="AQ583" s="10">
        <f t="shared" si="731"/>
        <v>0</v>
      </c>
      <c r="AR583" s="10">
        <f t="shared" si="732"/>
        <v>0</v>
      </c>
      <c r="AS583" s="10">
        <f t="shared" si="733"/>
        <v>0</v>
      </c>
      <c r="AT583" s="10">
        <f t="shared" si="734"/>
        <v>0</v>
      </c>
      <c r="AU583" s="10">
        <f t="shared" si="735"/>
        <v>0</v>
      </c>
      <c r="AV583" s="10">
        <f t="shared" si="736"/>
        <v>0</v>
      </c>
      <c r="AW583" s="10">
        <f t="shared" si="737"/>
        <v>0</v>
      </c>
      <c r="AX583" s="10">
        <f t="shared" si="738"/>
        <v>0</v>
      </c>
    </row>
    <row r="584" spans="1:50" x14ac:dyDescent="0.2">
      <c r="A584" s="8">
        <v>14950</v>
      </c>
      <c r="B584" s="89" t="str">
        <f t="shared" si="690"/>
        <v>Lockhart</v>
      </c>
      <c r="C584" s="9" t="str">
        <f t="shared" si="691"/>
        <v>REROC</v>
      </c>
      <c r="D584" s="51" t="str">
        <f t="shared" si="692"/>
        <v>N</v>
      </c>
      <c r="E584" s="10" t="str">
        <f t="shared" si="693"/>
        <v>RJO</v>
      </c>
      <c r="F584" s="10">
        <f t="shared" si="694"/>
        <v>3259</v>
      </c>
      <c r="G584" s="10">
        <f t="shared" si="695"/>
        <v>2642</v>
      </c>
      <c r="H584" s="10">
        <f t="shared" si="696"/>
        <v>1.2335352006056017</v>
      </c>
      <c r="I584" s="10">
        <f t="shared" si="697"/>
        <v>2895.8</v>
      </c>
      <c r="J584" s="10">
        <f t="shared" si="698"/>
        <v>1.1000000000000001</v>
      </c>
      <c r="K584" s="10">
        <f t="shared" si="699"/>
        <v>408</v>
      </c>
      <c r="L584" s="10" t="str">
        <f t="shared" si="700"/>
        <v>Y</v>
      </c>
      <c r="M584" s="10">
        <f t="shared" si="701"/>
        <v>2642</v>
      </c>
      <c r="N584" s="10">
        <f t="shared" si="702"/>
        <v>2642</v>
      </c>
      <c r="O584" s="10">
        <f t="shared" si="703"/>
        <v>0</v>
      </c>
      <c r="P584" s="10">
        <f t="shared" si="704"/>
        <v>2642</v>
      </c>
      <c r="Q584" s="10">
        <f t="shared" si="705"/>
        <v>2642</v>
      </c>
      <c r="R584" s="10" t="str">
        <f t="shared" si="706"/>
        <v>Yes</v>
      </c>
      <c r="S584" s="10">
        <f t="shared" si="707"/>
        <v>0</v>
      </c>
      <c r="T584" s="10">
        <f t="shared" si="708"/>
        <v>0</v>
      </c>
      <c r="U584" s="10">
        <f t="shared" si="709"/>
        <v>0</v>
      </c>
      <c r="V584" s="10">
        <f t="shared" si="710"/>
        <v>0</v>
      </c>
      <c r="W584" s="10">
        <f t="shared" si="711"/>
        <v>0</v>
      </c>
      <c r="X584" s="10">
        <f t="shared" si="712"/>
        <v>0</v>
      </c>
      <c r="Y584" s="10">
        <f t="shared" si="713"/>
        <v>0</v>
      </c>
      <c r="Z584" s="10">
        <f t="shared" si="714"/>
        <v>0</v>
      </c>
      <c r="AA584" s="10">
        <f t="shared" si="715"/>
        <v>0</v>
      </c>
      <c r="AB584" s="10">
        <f t="shared" si="716"/>
        <v>0</v>
      </c>
      <c r="AC584" s="10">
        <f t="shared" si="717"/>
        <v>0</v>
      </c>
      <c r="AD584" s="10">
        <f t="shared" si="718"/>
        <v>0</v>
      </c>
      <c r="AE584" s="10">
        <f t="shared" si="719"/>
        <v>0</v>
      </c>
      <c r="AF584" s="10">
        <f t="shared" si="720"/>
        <v>0</v>
      </c>
      <c r="AG584" s="10">
        <f t="shared" si="721"/>
        <v>0</v>
      </c>
      <c r="AH584" s="10">
        <f t="shared" si="722"/>
        <v>0</v>
      </c>
      <c r="AI584" s="10">
        <f t="shared" si="723"/>
        <v>0</v>
      </c>
      <c r="AJ584" s="10">
        <f t="shared" si="724"/>
        <v>0</v>
      </c>
      <c r="AK584" s="10">
        <f t="shared" si="725"/>
        <v>0</v>
      </c>
      <c r="AL584" s="10">
        <f t="shared" si="726"/>
        <v>0</v>
      </c>
      <c r="AM584" s="10">
        <f t="shared" si="727"/>
        <v>0</v>
      </c>
      <c r="AN584" s="46">
        <f t="shared" si="728"/>
        <v>0</v>
      </c>
      <c r="AO584" s="10">
        <f t="shared" si="729"/>
        <v>0</v>
      </c>
      <c r="AP584" s="10">
        <f t="shared" si="730"/>
        <v>0</v>
      </c>
      <c r="AQ584" s="10">
        <f t="shared" si="731"/>
        <v>0</v>
      </c>
      <c r="AR584" s="10">
        <f t="shared" si="732"/>
        <v>0</v>
      </c>
      <c r="AS584" s="10">
        <f t="shared" si="733"/>
        <v>0</v>
      </c>
      <c r="AT584" s="10">
        <f t="shared" si="734"/>
        <v>0</v>
      </c>
      <c r="AU584" s="10">
        <f t="shared" si="735"/>
        <v>0</v>
      </c>
      <c r="AV584" s="10">
        <f t="shared" si="736"/>
        <v>0</v>
      </c>
      <c r="AW584" s="10">
        <f t="shared" si="737"/>
        <v>0</v>
      </c>
      <c r="AX584" s="10">
        <f t="shared" si="738"/>
        <v>0</v>
      </c>
    </row>
    <row r="585" spans="1:50" x14ac:dyDescent="0.2">
      <c r="A585" s="8">
        <v>17350</v>
      </c>
      <c r="B585" s="89" t="str">
        <f t="shared" si="690"/>
        <v>Temora</v>
      </c>
      <c r="C585" s="9" t="str">
        <f t="shared" si="691"/>
        <v>REROC</v>
      </c>
      <c r="D585" s="51" t="str">
        <f t="shared" si="692"/>
        <v>N</v>
      </c>
      <c r="E585" s="10" t="str">
        <f t="shared" si="693"/>
        <v>RJO</v>
      </c>
      <c r="F585" s="10">
        <f t="shared" si="694"/>
        <v>6274</v>
      </c>
      <c r="G585" s="10">
        <f t="shared" si="695"/>
        <v>3827</v>
      </c>
      <c r="H585" s="10">
        <f t="shared" si="696"/>
        <v>1.6394042330807421</v>
      </c>
      <c r="I585" s="10">
        <f t="shared" si="697"/>
        <v>2802</v>
      </c>
      <c r="J585" s="10">
        <f t="shared" si="698"/>
        <v>2.2000000000000002</v>
      </c>
      <c r="K585" s="10">
        <f t="shared" si="699"/>
        <v>251.2</v>
      </c>
      <c r="L585" s="10" t="str">
        <f t="shared" si="700"/>
        <v>Y</v>
      </c>
      <c r="M585" s="10">
        <f t="shared" si="701"/>
        <v>2453</v>
      </c>
      <c r="N585" s="10">
        <f t="shared" si="702"/>
        <v>0</v>
      </c>
      <c r="O585" s="10">
        <f t="shared" si="703"/>
        <v>0</v>
      </c>
      <c r="P585" s="10">
        <f t="shared" si="704"/>
        <v>0</v>
      </c>
      <c r="Q585" s="10">
        <f t="shared" si="705"/>
        <v>3827</v>
      </c>
      <c r="R585" s="10" t="str">
        <f t="shared" si="706"/>
        <v>Yes</v>
      </c>
      <c r="S585" s="10" t="str">
        <f t="shared" si="707"/>
        <v>Temora Landfill Site</v>
      </c>
      <c r="T585" s="10" t="str">
        <f t="shared" si="708"/>
        <v>Ariah Park Landfill Site</v>
      </c>
      <c r="U585" s="10" t="str">
        <f t="shared" si="709"/>
        <v>Lions Club Recycling Depot</v>
      </c>
      <c r="V585" s="10">
        <f t="shared" si="710"/>
        <v>0</v>
      </c>
      <c r="W585" s="10">
        <f t="shared" si="711"/>
        <v>0</v>
      </c>
      <c r="X585" s="10">
        <f t="shared" si="712"/>
        <v>0</v>
      </c>
      <c r="Y585" s="10">
        <f t="shared" si="713"/>
        <v>0</v>
      </c>
      <c r="Z585" s="10">
        <f t="shared" si="714"/>
        <v>0</v>
      </c>
      <c r="AA585" s="10">
        <f t="shared" si="715"/>
        <v>0</v>
      </c>
      <c r="AB585" s="10">
        <f t="shared" si="716"/>
        <v>0</v>
      </c>
      <c r="AC585" s="10">
        <f t="shared" si="717"/>
        <v>0</v>
      </c>
      <c r="AD585" s="10">
        <f t="shared" si="718"/>
        <v>0</v>
      </c>
      <c r="AE585" s="10">
        <f t="shared" si="719"/>
        <v>0</v>
      </c>
      <c r="AF585" s="10">
        <f t="shared" si="720"/>
        <v>0</v>
      </c>
      <c r="AG585" s="10">
        <f t="shared" si="721"/>
        <v>0</v>
      </c>
      <c r="AH585" s="10">
        <f t="shared" si="722"/>
        <v>0</v>
      </c>
      <c r="AI585" s="10">
        <f t="shared" si="723"/>
        <v>0</v>
      </c>
      <c r="AJ585" s="10">
        <f t="shared" si="724"/>
        <v>0</v>
      </c>
      <c r="AK585" s="10">
        <f t="shared" si="725"/>
        <v>0</v>
      </c>
      <c r="AL585" s="10">
        <f t="shared" si="726"/>
        <v>0</v>
      </c>
      <c r="AM585" s="10">
        <f t="shared" si="727"/>
        <v>0</v>
      </c>
      <c r="AN585" s="46">
        <f t="shared" si="728"/>
        <v>0</v>
      </c>
      <c r="AO585" s="10">
        <f t="shared" si="729"/>
        <v>0</v>
      </c>
      <c r="AP585" s="10">
        <f t="shared" si="730"/>
        <v>0</v>
      </c>
      <c r="AQ585" s="10">
        <f t="shared" si="731"/>
        <v>0</v>
      </c>
      <c r="AR585" s="10">
        <f t="shared" si="732"/>
        <v>0</v>
      </c>
      <c r="AS585" s="10">
        <f t="shared" si="733"/>
        <v>0</v>
      </c>
      <c r="AT585" s="10">
        <f t="shared" si="734"/>
        <v>0</v>
      </c>
      <c r="AU585" s="10">
        <f t="shared" si="735"/>
        <v>0</v>
      </c>
      <c r="AV585" s="10">
        <f t="shared" si="736"/>
        <v>0</v>
      </c>
      <c r="AW585" s="10">
        <f t="shared" si="737"/>
        <v>0</v>
      </c>
      <c r="AX585" s="10">
        <f t="shared" si="738"/>
        <v>0</v>
      </c>
    </row>
    <row r="586" spans="1:50" ht="13.5" thickBot="1" x14ac:dyDescent="0.25">
      <c r="A586" s="8">
        <v>17750</v>
      </c>
      <c r="B586" s="89" t="str">
        <f t="shared" si="690"/>
        <v>Wagga Wagga</v>
      </c>
      <c r="C586" s="9" t="str">
        <f t="shared" si="691"/>
        <v>REROC</v>
      </c>
      <c r="D586" s="51" t="str">
        <f t="shared" si="692"/>
        <v>N</v>
      </c>
      <c r="E586" s="10">
        <f t="shared" si="693"/>
        <v>0</v>
      </c>
      <c r="F586" s="10">
        <f t="shared" si="694"/>
        <v>65770</v>
      </c>
      <c r="G586" s="10">
        <f t="shared" si="695"/>
        <v>25631</v>
      </c>
      <c r="H586" s="10">
        <f t="shared" si="696"/>
        <v>2.5660333190277398</v>
      </c>
      <c r="I586" s="10">
        <f t="shared" si="697"/>
        <v>4824.5</v>
      </c>
      <c r="J586" s="10">
        <f t="shared" si="698"/>
        <v>13.6</v>
      </c>
      <c r="K586" s="10">
        <f t="shared" si="699"/>
        <v>369</v>
      </c>
      <c r="L586" s="10" t="str">
        <f t="shared" si="700"/>
        <v>Y</v>
      </c>
      <c r="M586" s="10">
        <f t="shared" si="701"/>
        <v>25631</v>
      </c>
      <c r="N586" s="10">
        <f t="shared" si="702"/>
        <v>25631</v>
      </c>
      <c r="O586" s="10">
        <f t="shared" si="703"/>
        <v>0</v>
      </c>
      <c r="P586" s="10">
        <f t="shared" si="704"/>
        <v>25631</v>
      </c>
      <c r="Q586" s="10">
        <f t="shared" si="705"/>
        <v>25631</v>
      </c>
      <c r="R586" s="10" t="str">
        <f t="shared" si="706"/>
        <v>Yes</v>
      </c>
      <c r="S586" s="10" t="str">
        <f t="shared" si="707"/>
        <v>Gregadoo Waste Management Centre</v>
      </c>
      <c r="T586" s="10" t="str">
        <f t="shared" si="708"/>
        <v>Transfer stations</v>
      </c>
      <c r="U586" s="10">
        <f t="shared" si="709"/>
        <v>0</v>
      </c>
      <c r="V586" s="10">
        <f t="shared" si="710"/>
        <v>0</v>
      </c>
      <c r="W586" s="10">
        <f t="shared" si="711"/>
        <v>0</v>
      </c>
      <c r="X586" s="10">
        <f t="shared" si="712"/>
        <v>0</v>
      </c>
      <c r="Y586" s="10">
        <f t="shared" si="713"/>
        <v>0</v>
      </c>
      <c r="Z586" s="10">
        <f t="shared" si="714"/>
        <v>0</v>
      </c>
      <c r="AA586" s="10">
        <f t="shared" si="715"/>
        <v>0</v>
      </c>
      <c r="AB586" s="10">
        <f t="shared" si="716"/>
        <v>0</v>
      </c>
      <c r="AC586" s="10">
        <f t="shared" si="717"/>
        <v>0</v>
      </c>
      <c r="AD586" s="10">
        <f t="shared" si="718"/>
        <v>0</v>
      </c>
      <c r="AE586" s="10">
        <f t="shared" si="719"/>
        <v>0</v>
      </c>
      <c r="AF586" s="10">
        <f t="shared" si="720"/>
        <v>0</v>
      </c>
      <c r="AG586" s="10">
        <f t="shared" si="721"/>
        <v>0</v>
      </c>
      <c r="AH586" s="10">
        <f t="shared" si="722"/>
        <v>0</v>
      </c>
      <c r="AI586" s="10">
        <f t="shared" si="723"/>
        <v>0</v>
      </c>
      <c r="AJ586" s="10">
        <f t="shared" si="724"/>
        <v>0</v>
      </c>
      <c r="AK586" s="10">
        <f t="shared" si="725"/>
        <v>0</v>
      </c>
      <c r="AL586" s="10">
        <f t="shared" si="726"/>
        <v>0</v>
      </c>
      <c r="AM586" s="10">
        <f t="shared" si="727"/>
        <v>0</v>
      </c>
      <c r="AN586" s="46">
        <f t="shared" si="728"/>
        <v>0</v>
      </c>
      <c r="AO586" s="10">
        <f t="shared" si="729"/>
        <v>0</v>
      </c>
      <c r="AP586" s="10">
        <f t="shared" si="730"/>
        <v>0</v>
      </c>
      <c r="AQ586" s="10">
        <f t="shared" si="731"/>
        <v>0</v>
      </c>
      <c r="AR586" s="10">
        <f t="shared" si="732"/>
        <v>0</v>
      </c>
      <c r="AS586" s="10">
        <f t="shared" si="733"/>
        <v>0</v>
      </c>
      <c r="AT586" s="10">
        <f t="shared" si="734"/>
        <v>0</v>
      </c>
      <c r="AU586" s="10">
        <f t="shared" si="735"/>
        <v>0</v>
      </c>
      <c r="AV586" s="10">
        <f t="shared" si="736"/>
        <v>0</v>
      </c>
      <c r="AW586" s="10">
        <f t="shared" si="737"/>
        <v>0</v>
      </c>
      <c r="AX586" s="10">
        <f t="shared" si="738"/>
        <v>0</v>
      </c>
    </row>
    <row r="587" spans="1:50" ht="13.5" thickTop="1" x14ac:dyDescent="0.2">
      <c r="A587" s="11"/>
      <c r="B587" s="11"/>
      <c r="C587" s="11" t="s">
        <v>30</v>
      </c>
      <c r="D587" s="11"/>
      <c r="E587" s="12"/>
      <c r="F587" s="13">
        <f t="shared" ref="F587:AX587" si="739">COUNTIF(F579:F586,"&gt;0")</f>
        <v>8</v>
      </c>
      <c r="G587" s="13">
        <f t="shared" si="739"/>
        <v>8</v>
      </c>
      <c r="H587" s="13">
        <f t="shared" si="739"/>
        <v>8</v>
      </c>
      <c r="I587" s="13">
        <f t="shared" si="739"/>
        <v>8</v>
      </c>
      <c r="J587" s="13">
        <f t="shared" si="739"/>
        <v>8</v>
      </c>
      <c r="K587" s="13">
        <f t="shared" si="739"/>
        <v>8</v>
      </c>
      <c r="L587" s="13">
        <f t="shared" si="739"/>
        <v>0</v>
      </c>
      <c r="M587" s="13">
        <f t="shared" si="739"/>
        <v>8</v>
      </c>
      <c r="N587" s="13">
        <f t="shared" si="739"/>
        <v>6</v>
      </c>
      <c r="O587" s="13">
        <f t="shared" si="739"/>
        <v>1</v>
      </c>
      <c r="P587" s="13">
        <f t="shared" si="739"/>
        <v>5</v>
      </c>
      <c r="Q587" s="13">
        <f t="shared" si="739"/>
        <v>4</v>
      </c>
      <c r="R587" s="13">
        <f t="shared" si="739"/>
        <v>0</v>
      </c>
      <c r="S587" s="13">
        <f t="shared" si="739"/>
        <v>0</v>
      </c>
      <c r="T587" s="13">
        <f t="shared" si="739"/>
        <v>0</v>
      </c>
      <c r="U587" s="13">
        <f t="shared" si="739"/>
        <v>0</v>
      </c>
      <c r="V587" s="13">
        <f t="shared" si="739"/>
        <v>0</v>
      </c>
      <c r="W587" s="13">
        <f t="shared" si="739"/>
        <v>0</v>
      </c>
      <c r="X587" s="13">
        <f t="shared" si="739"/>
        <v>0</v>
      </c>
      <c r="Y587" s="13">
        <f t="shared" si="739"/>
        <v>0</v>
      </c>
      <c r="Z587" s="13">
        <f t="shared" si="739"/>
        <v>0</v>
      </c>
      <c r="AA587" s="13">
        <f t="shared" si="739"/>
        <v>0</v>
      </c>
      <c r="AB587" s="13">
        <f t="shared" si="739"/>
        <v>0</v>
      </c>
      <c r="AC587" s="13">
        <f t="shared" si="739"/>
        <v>0</v>
      </c>
      <c r="AD587" s="13">
        <f t="shared" si="739"/>
        <v>0</v>
      </c>
      <c r="AE587" s="13">
        <f t="shared" si="739"/>
        <v>0</v>
      </c>
      <c r="AF587" s="13">
        <f t="shared" si="739"/>
        <v>0</v>
      </c>
      <c r="AG587" s="13">
        <f t="shared" si="739"/>
        <v>0</v>
      </c>
      <c r="AH587" s="13">
        <f t="shared" si="739"/>
        <v>0</v>
      </c>
      <c r="AI587" s="13">
        <f t="shared" si="739"/>
        <v>0</v>
      </c>
      <c r="AJ587" s="13">
        <f t="shared" si="739"/>
        <v>0</v>
      </c>
      <c r="AK587" s="13">
        <f t="shared" si="739"/>
        <v>0</v>
      </c>
      <c r="AL587" s="13">
        <f t="shared" si="739"/>
        <v>0</v>
      </c>
      <c r="AM587" s="44">
        <f t="shared" si="739"/>
        <v>0</v>
      </c>
      <c r="AN587" s="13">
        <f t="shared" si="739"/>
        <v>0</v>
      </c>
      <c r="AO587" s="13">
        <f t="shared" si="739"/>
        <v>0</v>
      </c>
      <c r="AP587" s="13">
        <f t="shared" si="739"/>
        <v>0</v>
      </c>
      <c r="AQ587" s="13">
        <f t="shared" si="739"/>
        <v>0</v>
      </c>
      <c r="AR587" s="13">
        <f t="shared" si="739"/>
        <v>0</v>
      </c>
      <c r="AS587" s="13">
        <f t="shared" si="739"/>
        <v>0</v>
      </c>
      <c r="AT587" s="13">
        <f t="shared" si="739"/>
        <v>0</v>
      </c>
      <c r="AU587" s="13">
        <f t="shared" si="739"/>
        <v>0</v>
      </c>
      <c r="AV587" s="13">
        <f t="shared" si="739"/>
        <v>0</v>
      </c>
      <c r="AW587" s="13">
        <f t="shared" si="739"/>
        <v>0</v>
      </c>
      <c r="AX587" s="13">
        <f t="shared" si="739"/>
        <v>0</v>
      </c>
    </row>
    <row r="588" spans="1:50" x14ac:dyDescent="0.2">
      <c r="A588" s="8"/>
      <c r="B588" s="8"/>
      <c r="C588" s="8" t="s">
        <v>31</v>
      </c>
      <c r="D588" s="8"/>
      <c r="E588" s="80"/>
      <c r="F588" s="15">
        <f t="shared" ref="F588:AX588" si="740">SUM(F579:F586)</f>
        <v>114273</v>
      </c>
      <c r="G588" s="15">
        <f t="shared" si="740"/>
        <v>55651</v>
      </c>
      <c r="H588" s="110">
        <f>F588/G588</f>
        <v>2.0533862823668936</v>
      </c>
      <c r="I588" s="15">
        <f t="shared" si="740"/>
        <v>33271.800000000003</v>
      </c>
      <c r="J588" s="15">
        <f t="shared" si="740"/>
        <v>27.4</v>
      </c>
      <c r="K588" s="15">
        <f t="shared" si="740"/>
        <v>3000.24</v>
      </c>
      <c r="L588" s="15">
        <f t="shared" si="740"/>
        <v>0</v>
      </c>
      <c r="M588" s="15">
        <f t="shared" si="740"/>
        <v>44114</v>
      </c>
      <c r="N588" s="15">
        <f t="shared" si="740"/>
        <v>39606</v>
      </c>
      <c r="O588" s="15">
        <f t="shared" si="740"/>
        <v>2578</v>
      </c>
      <c r="P588" s="15">
        <f t="shared" si="740"/>
        <v>32454</v>
      </c>
      <c r="Q588" s="15">
        <f t="shared" si="740"/>
        <v>35146</v>
      </c>
      <c r="R588" s="15">
        <f t="shared" si="740"/>
        <v>0</v>
      </c>
      <c r="S588" s="15">
        <f t="shared" si="740"/>
        <v>0</v>
      </c>
      <c r="T588" s="15">
        <f t="shared" si="740"/>
        <v>0</v>
      </c>
      <c r="U588" s="15">
        <f t="shared" si="740"/>
        <v>0</v>
      </c>
      <c r="V588" s="15">
        <f t="shared" si="740"/>
        <v>0</v>
      </c>
      <c r="W588" s="15">
        <f t="shared" si="740"/>
        <v>0</v>
      </c>
      <c r="X588" s="15">
        <f t="shared" si="740"/>
        <v>0</v>
      </c>
      <c r="Y588" s="15">
        <f t="shared" si="740"/>
        <v>0</v>
      </c>
      <c r="Z588" s="15">
        <f t="shared" si="740"/>
        <v>0</v>
      </c>
      <c r="AA588" s="15">
        <f t="shared" si="740"/>
        <v>0</v>
      </c>
      <c r="AB588" s="15">
        <f t="shared" si="740"/>
        <v>0</v>
      </c>
      <c r="AC588" s="15">
        <f t="shared" si="740"/>
        <v>0</v>
      </c>
      <c r="AD588" s="15">
        <f t="shared" si="740"/>
        <v>0</v>
      </c>
      <c r="AE588" s="15">
        <f t="shared" si="740"/>
        <v>0</v>
      </c>
      <c r="AF588" s="15">
        <f t="shared" si="740"/>
        <v>0</v>
      </c>
      <c r="AG588" s="15">
        <f t="shared" si="740"/>
        <v>0</v>
      </c>
      <c r="AH588" s="15">
        <f t="shared" si="740"/>
        <v>0</v>
      </c>
      <c r="AI588" s="15">
        <f t="shared" si="740"/>
        <v>0</v>
      </c>
      <c r="AJ588" s="15">
        <f t="shared" si="740"/>
        <v>0</v>
      </c>
      <c r="AK588" s="15">
        <f t="shared" si="740"/>
        <v>0</v>
      </c>
      <c r="AL588" s="15">
        <f t="shared" si="740"/>
        <v>0</v>
      </c>
      <c r="AM588" s="45">
        <f t="shared" si="740"/>
        <v>0</v>
      </c>
      <c r="AN588" s="15">
        <f t="shared" si="740"/>
        <v>0</v>
      </c>
      <c r="AO588" s="15">
        <f t="shared" si="740"/>
        <v>0</v>
      </c>
      <c r="AP588" s="15">
        <f t="shared" si="740"/>
        <v>0</v>
      </c>
      <c r="AQ588" s="15">
        <f t="shared" si="740"/>
        <v>0</v>
      </c>
      <c r="AR588" s="15">
        <f t="shared" si="740"/>
        <v>0</v>
      </c>
      <c r="AS588" s="15">
        <f t="shared" si="740"/>
        <v>0</v>
      </c>
      <c r="AT588" s="15">
        <f t="shared" si="740"/>
        <v>0</v>
      </c>
      <c r="AU588" s="15">
        <f t="shared" si="740"/>
        <v>0</v>
      </c>
      <c r="AV588" s="15">
        <f t="shared" si="740"/>
        <v>0</v>
      </c>
      <c r="AW588" s="15">
        <f t="shared" si="740"/>
        <v>0</v>
      </c>
      <c r="AX588" s="15">
        <f t="shared" si="740"/>
        <v>0</v>
      </c>
    </row>
    <row r="589" spans="1:50" x14ac:dyDescent="0.2">
      <c r="A589" s="8"/>
      <c r="B589" s="8"/>
      <c r="C589" s="8" t="s">
        <v>32</v>
      </c>
      <c r="D589" s="8"/>
      <c r="E589" s="80"/>
      <c r="F589" s="10">
        <f t="shared" ref="F589:AX589" si="741">MIN(F579:F586)</f>
        <v>3259</v>
      </c>
      <c r="G589" s="10">
        <f t="shared" si="741"/>
        <v>2642</v>
      </c>
      <c r="H589" s="10">
        <f t="shared" si="741"/>
        <v>1.2335352006056017</v>
      </c>
      <c r="I589" s="10">
        <f t="shared" si="741"/>
        <v>2030</v>
      </c>
      <c r="J589" s="10">
        <f t="shared" si="741"/>
        <v>0.7</v>
      </c>
      <c r="K589" s="10">
        <f t="shared" si="741"/>
        <v>251.2</v>
      </c>
      <c r="L589" s="10">
        <f t="shared" si="741"/>
        <v>0</v>
      </c>
      <c r="M589" s="10">
        <f t="shared" si="741"/>
        <v>1746</v>
      </c>
      <c r="N589" s="10">
        <f t="shared" si="741"/>
        <v>0</v>
      </c>
      <c r="O589" s="10">
        <f t="shared" si="741"/>
        <v>0</v>
      </c>
      <c r="P589" s="10">
        <f t="shared" si="741"/>
        <v>0</v>
      </c>
      <c r="Q589" s="10">
        <f t="shared" si="741"/>
        <v>0</v>
      </c>
      <c r="R589" s="10">
        <f t="shared" si="741"/>
        <v>0</v>
      </c>
      <c r="S589" s="10">
        <f t="shared" si="741"/>
        <v>0</v>
      </c>
      <c r="T589" s="10">
        <f t="shared" si="741"/>
        <v>0</v>
      </c>
      <c r="U589" s="10">
        <f t="shared" si="741"/>
        <v>0</v>
      </c>
      <c r="V589" s="10">
        <f t="shared" si="741"/>
        <v>0</v>
      </c>
      <c r="W589" s="10">
        <f t="shared" si="741"/>
        <v>0</v>
      </c>
      <c r="X589" s="10">
        <f t="shared" si="741"/>
        <v>0</v>
      </c>
      <c r="Y589" s="10">
        <f t="shared" si="741"/>
        <v>0</v>
      </c>
      <c r="Z589" s="10">
        <f t="shared" si="741"/>
        <v>0</v>
      </c>
      <c r="AA589" s="10">
        <f t="shared" si="741"/>
        <v>0</v>
      </c>
      <c r="AB589" s="10">
        <f t="shared" si="741"/>
        <v>0</v>
      </c>
      <c r="AC589" s="10">
        <f t="shared" si="741"/>
        <v>0</v>
      </c>
      <c r="AD589" s="10">
        <f t="shared" si="741"/>
        <v>0</v>
      </c>
      <c r="AE589" s="10">
        <f t="shared" si="741"/>
        <v>0</v>
      </c>
      <c r="AF589" s="10">
        <f t="shared" si="741"/>
        <v>0</v>
      </c>
      <c r="AG589" s="10">
        <f t="shared" si="741"/>
        <v>0</v>
      </c>
      <c r="AH589" s="10">
        <f t="shared" si="741"/>
        <v>0</v>
      </c>
      <c r="AI589" s="10">
        <f t="shared" si="741"/>
        <v>0</v>
      </c>
      <c r="AJ589" s="10">
        <f t="shared" si="741"/>
        <v>0</v>
      </c>
      <c r="AK589" s="10">
        <f t="shared" si="741"/>
        <v>0</v>
      </c>
      <c r="AL589" s="10">
        <f t="shared" si="741"/>
        <v>0</v>
      </c>
      <c r="AM589" s="46">
        <f t="shared" si="741"/>
        <v>0</v>
      </c>
      <c r="AN589" s="10">
        <f t="shared" si="741"/>
        <v>0</v>
      </c>
      <c r="AO589" s="10">
        <f t="shared" si="741"/>
        <v>0</v>
      </c>
      <c r="AP589" s="10">
        <f t="shared" si="741"/>
        <v>0</v>
      </c>
      <c r="AQ589" s="10">
        <f t="shared" si="741"/>
        <v>0</v>
      </c>
      <c r="AR589" s="10">
        <f t="shared" si="741"/>
        <v>0</v>
      </c>
      <c r="AS589" s="10">
        <f t="shared" si="741"/>
        <v>0</v>
      </c>
      <c r="AT589" s="10">
        <f t="shared" si="741"/>
        <v>0</v>
      </c>
      <c r="AU589" s="10">
        <f t="shared" si="741"/>
        <v>0</v>
      </c>
      <c r="AV589" s="10">
        <f t="shared" si="741"/>
        <v>0</v>
      </c>
      <c r="AW589" s="10">
        <f t="shared" si="741"/>
        <v>0</v>
      </c>
      <c r="AX589" s="10">
        <f t="shared" si="741"/>
        <v>0</v>
      </c>
    </row>
    <row r="590" spans="1:50" x14ac:dyDescent="0.2">
      <c r="A590" s="8"/>
      <c r="B590" s="8"/>
      <c r="C590" s="8" t="s">
        <v>33</v>
      </c>
      <c r="D590" s="8"/>
      <c r="E590" s="80"/>
      <c r="F590" s="10">
        <f t="shared" ref="F590:AX590" si="742">MAX(F579:F586)</f>
        <v>65770</v>
      </c>
      <c r="G590" s="10">
        <f t="shared" si="742"/>
        <v>25631</v>
      </c>
      <c r="H590" s="10">
        <f t="shared" si="742"/>
        <v>2.5660333190277398</v>
      </c>
      <c r="I590" s="10">
        <f t="shared" si="742"/>
        <v>8557.7000000000007</v>
      </c>
      <c r="J590" s="10">
        <f t="shared" si="742"/>
        <v>13.6</v>
      </c>
      <c r="K590" s="10">
        <f t="shared" si="742"/>
        <v>554.24</v>
      </c>
      <c r="L590" s="10">
        <f t="shared" si="742"/>
        <v>0</v>
      </c>
      <c r="M590" s="10">
        <f t="shared" si="742"/>
        <v>25631</v>
      </c>
      <c r="N590" s="10">
        <f t="shared" si="742"/>
        <v>25631</v>
      </c>
      <c r="O590" s="10">
        <f t="shared" si="742"/>
        <v>2578</v>
      </c>
      <c r="P590" s="10">
        <f t="shared" si="742"/>
        <v>25631</v>
      </c>
      <c r="Q590" s="10">
        <f t="shared" si="742"/>
        <v>25631</v>
      </c>
      <c r="R590" s="10">
        <f t="shared" si="742"/>
        <v>0</v>
      </c>
      <c r="S590" s="10">
        <f t="shared" si="742"/>
        <v>0</v>
      </c>
      <c r="T590" s="10">
        <f t="shared" si="742"/>
        <v>0</v>
      </c>
      <c r="U590" s="10">
        <f t="shared" si="742"/>
        <v>0</v>
      </c>
      <c r="V590" s="10">
        <f t="shared" si="742"/>
        <v>0</v>
      </c>
      <c r="W590" s="10">
        <f t="shared" si="742"/>
        <v>0</v>
      </c>
      <c r="X590" s="10">
        <f t="shared" si="742"/>
        <v>0</v>
      </c>
      <c r="Y590" s="10">
        <f t="shared" si="742"/>
        <v>0</v>
      </c>
      <c r="Z590" s="10">
        <f t="shared" si="742"/>
        <v>0</v>
      </c>
      <c r="AA590" s="10">
        <f t="shared" si="742"/>
        <v>0</v>
      </c>
      <c r="AB590" s="10">
        <f t="shared" si="742"/>
        <v>0</v>
      </c>
      <c r="AC590" s="10">
        <f t="shared" si="742"/>
        <v>0</v>
      </c>
      <c r="AD590" s="10">
        <f t="shared" si="742"/>
        <v>0</v>
      </c>
      <c r="AE590" s="10">
        <f t="shared" si="742"/>
        <v>0</v>
      </c>
      <c r="AF590" s="10">
        <f t="shared" si="742"/>
        <v>0</v>
      </c>
      <c r="AG590" s="10">
        <f t="shared" si="742"/>
        <v>0</v>
      </c>
      <c r="AH590" s="10">
        <f t="shared" si="742"/>
        <v>0</v>
      </c>
      <c r="AI590" s="10">
        <f t="shared" si="742"/>
        <v>0</v>
      </c>
      <c r="AJ590" s="10">
        <f t="shared" si="742"/>
        <v>0</v>
      </c>
      <c r="AK590" s="10">
        <f t="shared" si="742"/>
        <v>0</v>
      </c>
      <c r="AL590" s="10">
        <f t="shared" si="742"/>
        <v>0</v>
      </c>
      <c r="AM590" s="46">
        <f t="shared" si="742"/>
        <v>0</v>
      </c>
      <c r="AN590" s="10">
        <f t="shared" si="742"/>
        <v>0</v>
      </c>
      <c r="AO590" s="10">
        <f t="shared" si="742"/>
        <v>0</v>
      </c>
      <c r="AP590" s="10">
        <f t="shared" si="742"/>
        <v>0</v>
      </c>
      <c r="AQ590" s="10">
        <f t="shared" si="742"/>
        <v>0</v>
      </c>
      <c r="AR590" s="10">
        <f t="shared" si="742"/>
        <v>0</v>
      </c>
      <c r="AS590" s="10">
        <f t="shared" si="742"/>
        <v>0</v>
      </c>
      <c r="AT590" s="10">
        <f t="shared" si="742"/>
        <v>0</v>
      </c>
      <c r="AU590" s="10">
        <f t="shared" si="742"/>
        <v>0</v>
      </c>
      <c r="AV590" s="10">
        <f t="shared" si="742"/>
        <v>0</v>
      </c>
      <c r="AW590" s="10">
        <f t="shared" si="742"/>
        <v>0</v>
      </c>
      <c r="AX590" s="10">
        <f t="shared" si="742"/>
        <v>0</v>
      </c>
    </row>
    <row r="591" spans="1:50" x14ac:dyDescent="0.2">
      <c r="A591" s="8"/>
      <c r="B591" s="8"/>
      <c r="C591" s="8" t="s">
        <v>34</v>
      </c>
      <c r="D591" s="8"/>
      <c r="E591" s="80"/>
      <c r="F591" s="10">
        <f t="shared" ref="F591:AX591" si="743">AVERAGE(F579:F586)</f>
        <v>14284.125</v>
      </c>
      <c r="G591" s="10">
        <f t="shared" si="743"/>
        <v>6956.375</v>
      </c>
      <c r="H591" s="10">
        <f t="shared" si="743"/>
        <v>1.7190558843836403</v>
      </c>
      <c r="I591" s="10">
        <f t="shared" si="743"/>
        <v>4158.9750000000004</v>
      </c>
      <c r="J591" s="10">
        <f t="shared" si="743"/>
        <v>3.4249999999999998</v>
      </c>
      <c r="K591" s="10">
        <f t="shared" si="743"/>
        <v>375.03</v>
      </c>
      <c r="L591" s="10" t="e">
        <f t="shared" si="743"/>
        <v>#DIV/0!</v>
      </c>
      <c r="M591" s="10">
        <f t="shared" si="743"/>
        <v>5514.25</v>
      </c>
      <c r="N591" s="10">
        <f t="shared" si="743"/>
        <v>4950.75</v>
      </c>
      <c r="O591" s="10">
        <f t="shared" si="743"/>
        <v>322.25</v>
      </c>
      <c r="P591" s="10">
        <f t="shared" si="743"/>
        <v>4056.75</v>
      </c>
      <c r="Q591" s="10">
        <f t="shared" si="743"/>
        <v>4393.25</v>
      </c>
      <c r="R591" s="10" t="e">
        <f t="shared" si="743"/>
        <v>#DIV/0!</v>
      </c>
      <c r="S591" s="10">
        <f t="shared" si="743"/>
        <v>0</v>
      </c>
      <c r="T591" s="10">
        <f t="shared" si="743"/>
        <v>0</v>
      </c>
      <c r="U591" s="10">
        <f t="shared" si="743"/>
        <v>0</v>
      </c>
      <c r="V591" s="10">
        <f t="shared" si="743"/>
        <v>0</v>
      </c>
      <c r="W591" s="10">
        <f t="shared" si="743"/>
        <v>0</v>
      </c>
      <c r="X591" s="10">
        <f t="shared" si="743"/>
        <v>0</v>
      </c>
      <c r="Y591" s="10">
        <f t="shared" si="743"/>
        <v>0</v>
      </c>
      <c r="Z591" s="10">
        <f t="shared" si="743"/>
        <v>0</v>
      </c>
      <c r="AA591" s="10">
        <f t="shared" si="743"/>
        <v>0</v>
      </c>
      <c r="AB591" s="10">
        <f t="shared" si="743"/>
        <v>0</v>
      </c>
      <c r="AC591" s="10">
        <f t="shared" si="743"/>
        <v>0</v>
      </c>
      <c r="AD591" s="10">
        <f t="shared" si="743"/>
        <v>0</v>
      </c>
      <c r="AE591" s="10">
        <f t="shared" si="743"/>
        <v>0</v>
      </c>
      <c r="AF591" s="10">
        <f t="shared" si="743"/>
        <v>0</v>
      </c>
      <c r="AG591" s="10">
        <f t="shared" si="743"/>
        <v>0</v>
      </c>
      <c r="AH591" s="10">
        <f t="shared" si="743"/>
        <v>0</v>
      </c>
      <c r="AI591" s="10">
        <f t="shared" si="743"/>
        <v>0</v>
      </c>
      <c r="AJ591" s="10">
        <f t="shared" si="743"/>
        <v>0</v>
      </c>
      <c r="AK591" s="10">
        <f t="shared" si="743"/>
        <v>0</v>
      </c>
      <c r="AL591" s="10">
        <f t="shared" si="743"/>
        <v>0</v>
      </c>
      <c r="AM591" s="46">
        <f t="shared" si="743"/>
        <v>0</v>
      </c>
      <c r="AN591" s="10">
        <f t="shared" si="743"/>
        <v>0</v>
      </c>
      <c r="AO591" s="10">
        <f t="shared" si="743"/>
        <v>0</v>
      </c>
      <c r="AP591" s="10">
        <f t="shared" si="743"/>
        <v>0</v>
      </c>
      <c r="AQ591" s="10">
        <f t="shared" si="743"/>
        <v>0</v>
      </c>
      <c r="AR591" s="10">
        <f t="shared" si="743"/>
        <v>0</v>
      </c>
      <c r="AS591" s="10">
        <f t="shared" si="743"/>
        <v>0</v>
      </c>
      <c r="AT591" s="10">
        <f t="shared" si="743"/>
        <v>0</v>
      </c>
      <c r="AU591" s="10">
        <f t="shared" si="743"/>
        <v>0</v>
      </c>
      <c r="AV591" s="10">
        <f t="shared" si="743"/>
        <v>0</v>
      </c>
      <c r="AW591" s="10">
        <f t="shared" si="743"/>
        <v>0</v>
      </c>
      <c r="AX591" s="10">
        <f t="shared" si="743"/>
        <v>0</v>
      </c>
    </row>
    <row r="592" spans="1:50" ht="13.5" thickBot="1" x14ac:dyDescent="0.25">
      <c r="A592" s="16"/>
      <c r="B592" s="16"/>
      <c r="C592" s="16" t="s">
        <v>35</v>
      </c>
      <c r="D592" s="16"/>
      <c r="E592" s="80"/>
      <c r="F592" s="18">
        <f t="shared" ref="F592:AX592" si="744">MEDIAN(F579:F586)</f>
        <v>6475</v>
      </c>
      <c r="G592" s="18">
        <f t="shared" si="744"/>
        <v>4171</v>
      </c>
      <c r="H592" s="18">
        <f t="shared" si="744"/>
        <v>1.6299412794701169</v>
      </c>
      <c r="I592" s="18">
        <f t="shared" si="744"/>
        <v>3438.6000000000004</v>
      </c>
      <c r="J592" s="18">
        <f t="shared" si="744"/>
        <v>2.0499999999999998</v>
      </c>
      <c r="K592" s="18">
        <f t="shared" si="744"/>
        <v>384.9</v>
      </c>
      <c r="L592" s="18" t="e">
        <f t="shared" si="744"/>
        <v>#NUM!</v>
      </c>
      <c r="M592" s="18">
        <f t="shared" si="744"/>
        <v>2547.5</v>
      </c>
      <c r="N592" s="18">
        <f t="shared" si="744"/>
        <v>2297</v>
      </c>
      <c r="O592" s="18">
        <f t="shared" si="744"/>
        <v>0</v>
      </c>
      <c r="P592" s="18">
        <f t="shared" si="744"/>
        <v>1239.5</v>
      </c>
      <c r="Q592" s="18">
        <f t="shared" si="744"/>
        <v>1321</v>
      </c>
      <c r="R592" s="18" t="e">
        <f t="shared" si="744"/>
        <v>#NUM!</v>
      </c>
      <c r="S592" s="18">
        <f t="shared" si="744"/>
        <v>0</v>
      </c>
      <c r="T592" s="18">
        <f t="shared" si="744"/>
        <v>0</v>
      </c>
      <c r="U592" s="18">
        <f t="shared" si="744"/>
        <v>0</v>
      </c>
      <c r="V592" s="18">
        <f t="shared" si="744"/>
        <v>0</v>
      </c>
      <c r="W592" s="18">
        <f t="shared" si="744"/>
        <v>0</v>
      </c>
      <c r="X592" s="18">
        <f t="shared" si="744"/>
        <v>0</v>
      </c>
      <c r="Y592" s="18">
        <f t="shared" si="744"/>
        <v>0</v>
      </c>
      <c r="Z592" s="18">
        <f t="shared" si="744"/>
        <v>0</v>
      </c>
      <c r="AA592" s="18">
        <f t="shared" si="744"/>
        <v>0</v>
      </c>
      <c r="AB592" s="18">
        <f t="shared" si="744"/>
        <v>0</v>
      </c>
      <c r="AC592" s="18">
        <f t="shared" si="744"/>
        <v>0</v>
      </c>
      <c r="AD592" s="18">
        <f t="shared" si="744"/>
        <v>0</v>
      </c>
      <c r="AE592" s="18">
        <f t="shared" si="744"/>
        <v>0</v>
      </c>
      <c r="AF592" s="18">
        <f t="shared" si="744"/>
        <v>0</v>
      </c>
      <c r="AG592" s="18">
        <f t="shared" si="744"/>
        <v>0</v>
      </c>
      <c r="AH592" s="18">
        <f t="shared" si="744"/>
        <v>0</v>
      </c>
      <c r="AI592" s="18">
        <f t="shared" si="744"/>
        <v>0</v>
      </c>
      <c r="AJ592" s="18">
        <f t="shared" si="744"/>
        <v>0</v>
      </c>
      <c r="AK592" s="18">
        <f t="shared" si="744"/>
        <v>0</v>
      </c>
      <c r="AL592" s="18">
        <f t="shared" si="744"/>
        <v>0</v>
      </c>
      <c r="AM592" s="47">
        <f t="shared" si="744"/>
        <v>0</v>
      </c>
      <c r="AN592" s="18">
        <f t="shared" si="744"/>
        <v>0</v>
      </c>
      <c r="AO592" s="18">
        <f t="shared" si="744"/>
        <v>0</v>
      </c>
      <c r="AP592" s="18">
        <f t="shared" si="744"/>
        <v>0</v>
      </c>
      <c r="AQ592" s="18">
        <f t="shared" si="744"/>
        <v>0</v>
      </c>
      <c r="AR592" s="18">
        <f t="shared" si="744"/>
        <v>0</v>
      </c>
      <c r="AS592" s="18">
        <f t="shared" si="744"/>
        <v>0</v>
      </c>
      <c r="AT592" s="18">
        <f t="shared" si="744"/>
        <v>0</v>
      </c>
      <c r="AU592" s="18">
        <f t="shared" si="744"/>
        <v>0</v>
      </c>
      <c r="AV592" s="18">
        <f t="shared" si="744"/>
        <v>0</v>
      </c>
      <c r="AW592" s="18">
        <f t="shared" si="744"/>
        <v>0</v>
      </c>
      <c r="AX592" s="18">
        <f t="shared" si="744"/>
        <v>0</v>
      </c>
    </row>
    <row r="593" spans="1:50" ht="13.5" thickTop="1" x14ac:dyDescent="0.2"/>
    <row r="594" spans="1:50" ht="13.5" thickBot="1" x14ac:dyDescent="0.25">
      <c r="A594" s="25"/>
      <c r="B594" s="25"/>
      <c r="C594" s="27" t="s">
        <v>24</v>
      </c>
      <c r="D594" s="27"/>
    </row>
    <row r="595" spans="1:50" ht="13.5" thickTop="1" x14ac:dyDescent="0.2">
      <c r="A595" s="8">
        <v>11600</v>
      </c>
      <c r="B595" s="89" t="str">
        <f t="shared" ref="B595:B600" si="745">VLOOKUP($A595,$A$5:$K$132,2,FALSE)</f>
        <v>Carrathool</v>
      </c>
      <c r="C595" s="9" t="str">
        <f t="shared" ref="C595:C600" si="746">VLOOKUP($A595,$A$5:$K$133,3,FALSE)</f>
        <v>RAMJO Riverina</v>
      </c>
      <c r="D595" s="51" t="str">
        <f t="shared" ref="D595:D600" si="747">VLOOKUP($A595,$A$5:$K$133,4,FALSE)</f>
        <v>N</v>
      </c>
      <c r="E595" s="10" t="str">
        <f t="shared" ref="E595:E600" si="748">VLOOKUP($A595,$A$5:$AX$132,5,FALSE)</f>
        <v>RMJO</v>
      </c>
      <c r="F595" s="10">
        <f t="shared" ref="F595:F600" si="749">VLOOKUP($A595,$A$5:$AX$132,6,FALSE)</f>
        <v>2796</v>
      </c>
      <c r="G595" s="10">
        <f t="shared" ref="G595:G600" si="750">VLOOKUP($A595,$A$5:$AX$132,7,FALSE)</f>
        <v>1343</v>
      </c>
      <c r="H595" s="10">
        <f t="shared" ref="H595:H600" si="751">VLOOKUP($A595,$A$5:$AX$132,8,FALSE)</f>
        <v>2.0819061801935965</v>
      </c>
      <c r="I595" s="10">
        <f t="shared" ref="I595:I600" si="752">VLOOKUP($A595,$A$5:$AX$132,9,FALSE)</f>
        <v>18934.5</v>
      </c>
      <c r="J595" s="10">
        <f t="shared" ref="J595:J600" si="753">VLOOKUP($A595,$A$5:$AX$132,10,FALSE)</f>
        <v>0.1</v>
      </c>
      <c r="K595" s="10">
        <f t="shared" ref="K595:K600" si="754">VLOOKUP($A595,$A$5:$AX$132,11,FALSE)</f>
        <v>203</v>
      </c>
      <c r="L595" s="10" t="str">
        <f t="shared" ref="L595:L600" si="755">VLOOKUP($A595,$A$4:$AX$132,12,FALSE)</f>
        <v>Y</v>
      </c>
      <c r="M595" s="10">
        <f t="shared" ref="M595:M600" si="756">VLOOKUP($A595,$A$4:$AX$132,13,FALSE)</f>
        <v>608</v>
      </c>
      <c r="N595" s="10">
        <f t="shared" ref="N595:N600" si="757">VLOOKUP($A595,$A$4:$AX$132,14,FALSE)</f>
        <v>0</v>
      </c>
      <c r="O595" s="10">
        <f t="shared" ref="O595:O600" si="758">VLOOKUP($A595,$A$4:$AX$132,15,FALSE)</f>
        <v>0</v>
      </c>
      <c r="P595" s="10">
        <f t="shared" ref="P595:P600" si="759">VLOOKUP($A595,$A$4:$AX$132,16,FALSE)</f>
        <v>0</v>
      </c>
      <c r="Q595" s="10">
        <f t="shared" ref="Q595:Q600" si="760">VLOOKUP($A595,$A$4:$AX$132,17,FALSE)</f>
        <v>0</v>
      </c>
      <c r="R595" s="10" t="str">
        <f t="shared" ref="R595:R600" si="761">VLOOKUP($A595,$A$4:$AX$132,18,FALSE)</f>
        <v>No</v>
      </c>
      <c r="S595" s="10">
        <f t="shared" ref="S595:S600" si="762">VLOOKUP($A595,$A$4:$AX$132,19,FALSE)</f>
        <v>0</v>
      </c>
      <c r="T595" s="10">
        <f t="shared" ref="T595:T600" si="763">VLOOKUP($A595,$A$4:$AX$132,20,FALSE)</f>
        <v>0</v>
      </c>
      <c r="U595" s="10">
        <f t="shared" ref="U595:U600" si="764">VLOOKUP($A595,$A$4:$AX$132,21,FALSE)</f>
        <v>0</v>
      </c>
      <c r="V595" s="10">
        <f t="shared" ref="V595:V600" si="765">VLOOKUP($A595,$A$4:$AX$132,22,FALSE)</f>
        <v>0</v>
      </c>
      <c r="W595" s="10">
        <f t="shared" ref="W595:W600" si="766">VLOOKUP($A595,$A$4:$AX$132,23,FALSE)</f>
        <v>0</v>
      </c>
      <c r="X595" s="10">
        <f t="shared" ref="X595:X600" si="767">VLOOKUP($A595,$A$4:$AX$132,24,FALSE)</f>
        <v>0</v>
      </c>
      <c r="Y595" s="10">
        <f t="shared" ref="Y595:Y600" si="768">VLOOKUP($A595,$A$4:$AX$132,25,FALSE)</f>
        <v>0</v>
      </c>
      <c r="Z595" s="10">
        <f t="shared" ref="Z595:Z600" si="769">VLOOKUP($A595,$A$4:$AX$132,26,FALSE)</f>
        <v>0</v>
      </c>
      <c r="AA595" s="10">
        <f t="shared" ref="AA595:AA600" si="770">VLOOKUP($A595,$A$4:$AX$132,27,FALSE)</f>
        <v>0</v>
      </c>
      <c r="AB595" s="10">
        <f t="shared" ref="AB595:AB600" si="771">VLOOKUP($A595,$A$4:$AX$132,28,FALSE)</f>
        <v>0</v>
      </c>
      <c r="AC595" s="10">
        <f t="shared" ref="AC595:AC600" si="772">VLOOKUP($A595,$A$4:$AX$132,29,FALSE)</f>
        <v>0</v>
      </c>
      <c r="AD595" s="10">
        <f t="shared" ref="AD595:AD600" si="773">VLOOKUP($A595,$A$4:$AX$132,30,FALSE)</f>
        <v>0</v>
      </c>
      <c r="AE595" s="10">
        <f t="shared" ref="AE595:AE600" si="774">VLOOKUP($A595,$A$4:$AX$132,31,FALSE)</f>
        <v>0</v>
      </c>
      <c r="AF595" s="10">
        <f t="shared" ref="AF595:AF600" si="775">VLOOKUP($A595,$A$4:$AX$132,32,FALSE)</f>
        <v>0</v>
      </c>
      <c r="AG595" s="10">
        <f t="shared" ref="AG595:AG600" si="776">VLOOKUP($A595,$A$4:$AX$132,33,FALSE)</f>
        <v>0</v>
      </c>
      <c r="AH595" s="10">
        <f t="shared" ref="AH595:AH600" si="777">VLOOKUP($A595,$A$4:$AX$132,34,FALSE)</f>
        <v>0</v>
      </c>
      <c r="AI595" s="10">
        <f t="shared" ref="AI595:AI600" si="778">VLOOKUP($A595,$A$4:$AX$132,35,FALSE)</f>
        <v>0</v>
      </c>
      <c r="AJ595" s="10">
        <f t="shared" ref="AJ595:AJ600" si="779">VLOOKUP($A595,$A$4:$AX$132,36,FALSE)</f>
        <v>0</v>
      </c>
      <c r="AK595" s="10">
        <f t="shared" ref="AK595:AK600" si="780">VLOOKUP($A595,$A$4:$AX$132,37,FALSE)</f>
        <v>0</v>
      </c>
      <c r="AL595" s="10">
        <f t="shared" ref="AL595:AL600" si="781">VLOOKUP($A595,$A$4:$AX$132,38,FALSE)</f>
        <v>0</v>
      </c>
      <c r="AM595" s="10">
        <f t="shared" ref="AM595:AM600" si="782">VLOOKUP($A595,$A$4:$AX$132,39,FALSE)</f>
        <v>0</v>
      </c>
      <c r="AN595" s="46">
        <f t="shared" ref="AN595:AN600" si="783">VLOOKUP($A595,$A$4:$AX$132,40,FALSE)</f>
        <v>0</v>
      </c>
      <c r="AO595" s="10">
        <f t="shared" ref="AO595:AO600" si="784">VLOOKUP($A595,$A$4:$AX$132,41,FALSE)</f>
        <v>0</v>
      </c>
      <c r="AP595" s="10">
        <f t="shared" ref="AP595:AP600" si="785">VLOOKUP($A595,$A$4:$AX$132,42,FALSE)</f>
        <v>0</v>
      </c>
      <c r="AQ595" s="10">
        <f t="shared" ref="AQ595:AQ600" si="786">VLOOKUP($A595,$A$4:$AX$132,43,FALSE)</f>
        <v>0</v>
      </c>
      <c r="AR595" s="10">
        <f t="shared" ref="AR595:AR600" si="787">VLOOKUP($A595,$A$4:$AX$132,44,FALSE)</f>
        <v>0</v>
      </c>
      <c r="AS595" s="10">
        <f t="shared" ref="AS595:AS600" si="788">VLOOKUP($A595,$A$4:$AX$132,45,FALSE)</f>
        <v>0</v>
      </c>
      <c r="AT595" s="10">
        <f t="shared" ref="AT595:AT600" si="789">VLOOKUP($A595,$A$4:$AX$132,46,FALSE)</f>
        <v>0</v>
      </c>
      <c r="AU595" s="10">
        <f t="shared" ref="AU595:AU600" si="790">VLOOKUP($A595,$A$4:$AX$132,47,FALSE)</f>
        <v>0</v>
      </c>
      <c r="AV595" s="10">
        <f t="shared" ref="AV595:AV600" si="791">VLOOKUP($A595,$A$4:$AX$132,48,FALSE)</f>
        <v>0</v>
      </c>
      <c r="AW595" s="10">
        <f t="shared" ref="AW595:AW600" si="792">VLOOKUP($A595,$A$4:$AX$132,49,FALSE)</f>
        <v>0</v>
      </c>
      <c r="AX595" s="10">
        <f t="shared" ref="AX595:AX600" si="793">VLOOKUP($A595,$A$4:$AX$132,50,FALSE)</f>
        <v>0</v>
      </c>
    </row>
    <row r="596" spans="1:50" x14ac:dyDescent="0.2">
      <c r="A596" s="8">
        <v>13450</v>
      </c>
      <c r="B596" s="89" t="str">
        <f t="shared" si="745"/>
        <v>Griffith</v>
      </c>
      <c r="C596" s="9" t="str">
        <f t="shared" si="746"/>
        <v>RAMJO Riverina</v>
      </c>
      <c r="D596" s="51" t="str">
        <f t="shared" si="747"/>
        <v>N</v>
      </c>
      <c r="E596" s="10" t="str">
        <f t="shared" si="748"/>
        <v>RMJO</v>
      </c>
      <c r="F596" s="10">
        <f t="shared" si="749"/>
        <v>27155</v>
      </c>
      <c r="G596" s="10">
        <f t="shared" si="750"/>
        <v>13653</v>
      </c>
      <c r="H596" s="10">
        <f t="shared" si="751"/>
        <v>1.988940159671867</v>
      </c>
      <c r="I596" s="10">
        <f t="shared" si="752"/>
        <v>1639.2</v>
      </c>
      <c r="J596" s="10">
        <f t="shared" si="753"/>
        <v>16.600000000000001</v>
      </c>
      <c r="K596" s="10">
        <f t="shared" si="754"/>
        <v>315</v>
      </c>
      <c r="L596" s="10" t="str">
        <f t="shared" si="755"/>
        <v>Y</v>
      </c>
      <c r="M596" s="10">
        <f t="shared" si="756"/>
        <v>8594</v>
      </c>
      <c r="N596" s="10">
        <f t="shared" si="757"/>
        <v>8147</v>
      </c>
      <c r="O596" s="10">
        <f t="shared" si="758"/>
        <v>0</v>
      </c>
      <c r="P596" s="10">
        <f t="shared" si="759"/>
        <v>0</v>
      </c>
      <c r="Q596" s="10">
        <f t="shared" si="760"/>
        <v>0</v>
      </c>
      <c r="R596" s="10" t="str">
        <f t="shared" si="761"/>
        <v>Yes</v>
      </c>
      <c r="S596" s="10" t="str">
        <f t="shared" si="762"/>
        <v>Tharbogang Waste Transfer Station</v>
      </c>
      <c r="T596" s="10" t="str">
        <f t="shared" si="763"/>
        <v>Yenda Waste Transfer Station</v>
      </c>
      <c r="U596" s="10">
        <f t="shared" si="764"/>
        <v>0</v>
      </c>
      <c r="V596" s="10">
        <f t="shared" si="765"/>
        <v>0</v>
      </c>
      <c r="W596" s="10">
        <f t="shared" si="766"/>
        <v>0</v>
      </c>
      <c r="X596" s="10">
        <f t="shared" si="767"/>
        <v>0</v>
      </c>
      <c r="Y596" s="10">
        <f t="shared" si="768"/>
        <v>0</v>
      </c>
      <c r="Z596" s="10">
        <f t="shared" si="769"/>
        <v>0</v>
      </c>
      <c r="AA596" s="10">
        <f t="shared" si="770"/>
        <v>0</v>
      </c>
      <c r="AB596" s="10">
        <f t="shared" si="771"/>
        <v>0</v>
      </c>
      <c r="AC596" s="10">
        <f t="shared" si="772"/>
        <v>0</v>
      </c>
      <c r="AD596" s="10">
        <f t="shared" si="773"/>
        <v>0</v>
      </c>
      <c r="AE596" s="10">
        <f t="shared" si="774"/>
        <v>0</v>
      </c>
      <c r="AF596" s="10">
        <f t="shared" si="775"/>
        <v>0</v>
      </c>
      <c r="AG596" s="10">
        <f t="shared" si="776"/>
        <v>0</v>
      </c>
      <c r="AH596" s="10">
        <f t="shared" si="777"/>
        <v>0</v>
      </c>
      <c r="AI596" s="10">
        <f t="shared" si="778"/>
        <v>0</v>
      </c>
      <c r="AJ596" s="10">
        <f t="shared" si="779"/>
        <v>0</v>
      </c>
      <c r="AK596" s="10">
        <f t="shared" si="780"/>
        <v>0</v>
      </c>
      <c r="AL596" s="10">
        <f t="shared" si="781"/>
        <v>0</v>
      </c>
      <c r="AM596" s="10">
        <f t="shared" si="782"/>
        <v>0</v>
      </c>
      <c r="AN596" s="46">
        <f t="shared" si="783"/>
        <v>0</v>
      </c>
      <c r="AO596" s="10">
        <f t="shared" si="784"/>
        <v>0</v>
      </c>
      <c r="AP596" s="10">
        <f t="shared" si="785"/>
        <v>0</v>
      </c>
      <c r="AQ596" s="10">
        <f t="shared" si="786"/>
        <v>0</v>
      </c>
      <c r="AR596" s="10">
        <f t="shared" si="787"/>
        <v>0</v>
      </c>
      <c r="AS596" s="10">
        <f t="shared" si="788"/>
        <v>0</v>
      </c>
      <c r="AT596" s="10">
        <f t="shared" si="789"/>
        <v>0</v>
      </c>
      <c r="AU596" s="10">
        <f t="shared" si="790"/>
        <v>0</v>
      </c>
      <c r="AV596" s="10">
        <f t="shared" si="791"/>
        <v>0</v>
      </c>
      <c r="AW596" s="10">
        <f t="shared" si="792"/>
        <v>0</v>
      </c>
      <c r="AX596" s="10">
        <f t="shared" si="793"/>
        <v>0</v>
      </c>
    </row>
    <row r="597" spans="1:50" x14ac:dyDescent="0.2">
      <c r="A597" s="8">
        <v>13850</v>
      </c>
      <c r="B597" s="89" t="str">
        <f t="shared" si="745"/>
        <v>Hay</v>
      </c>
      <c r="C597" s="9" t="str">
        <f t="shared" si="746"/>
        <v>RAMJO Riverina</v>
      </c>
      <c r="D597" s="51" t="str">
        <f t="shared" si="747"/>
        <v>N</v>
      </c>
      <c r="E597" s="10" t="str">
        <f t="shared" si="748"/>
        <v>RMJO</v>
      </c>
      <c r="F597" s="10">
        <f t="shared" si="749"/>
        <v>2943</v>
      </c>
      <c r="G597" s="10">
        <f t="shared" si="750"/>
        <v>1799</v>
      </c>
      <c r="H597" s="10">
        <f t="shared" si="751"/>
        <v>1.6359088382434686</v>
      </c>
      <c r="I597" s="10">
        <f t="shared" si="752"/>
        <v>11325.9</v>
      </c>
      <c r="J597" s="10">
        <f t="shared" si="753"/>
        <v>0.3</v>
      </c>
      <c r="K597" s="10">
        <f t="shared" si="754"/>
        <v>278</v>
      </c>
      <c r="L597" s="10" t="str">
        <f t="shared" si="755"/>
        <v>Y</v>
      </c>
      <c r="M597" s="10">
        <f t="shared" si="756"/>
        <v>1208</v>
      </c>
      <c r="N597" s="10">
        <f t="shared" si="757"/>
        <v>0</v>
      </c>
      <c r="O597" s="10">
        <f t="shared" si="758"/>
        <v>0</v>
      </c>
      <c r="P597" s="10">
        <f t="shared" si="759"/>
        <v>0</v>
      </c>
      <c r="Q597" s="10">
        <f t="shared" si="760"/>
        <v>0</v>
      </c>
      <c r="R597" s="10" t="str">
        <f t="shared" si="761"/>
        <v>Yes</v>
      </c>
      <c r="S597" s="10" t="str">
        <f t="shared" si="762"/>
        <v>Hay Shire Council Waste Transfer Station</v>
      </c>
      <c r="T597" s="10">
        <f t="shared" si="763"/>
        <v>0</v>
      </c>
      <c r="U597" s="10">
        <f t="shared" si="764"/>
        <v>0</v>
      </c>
      <c r="V597" s="10">
        <f t="shared" si="765"/>
        <v>0</v>
      </c>
      <c r="W597" s="10">
        <f t="shared" si="766"/>
        <v>0</v>
      </c>
      <c r="X597" s="10">
        <f t="shared" si="767"/>
        <v>0</v>
      </c>
      <c r="Y597" s="10">
        <f t="shared" si="768"/>
        <v>0</v>
      </c>
      <c r="Z597" s="10">
        <f t="shared" si="769"/>
        <v>0</v>
      </c>
      <c r="AA597" s="10">
        <f t="shared" si="770"/>
        <v>0</v>
      </c>
      <c r="AB597" s="10">
        <f t="shared" si="771"/>
        <v>0</v>
      </c>
      <c r="AC597" s="10">
        <f t="shared" si="772"/>
        <v>0</v>
      </c>
      <c r="AD597" s="10">
        <f t="shared" si="773"/>
        <v>0</v>
      </c>
      <c r="AE597" s="10">
        <f t="shared" si="774"/>
        <v>0</v>
      </c>
      <c r="AF597" s="10">
        <f t="shared" si="775"/>
        <v>0</v>
      </c>
      <c r="AG597" s="10">
        <f t="shared" si="776"/>
        <v>0</v>
      </c>
      <c r="AH597" s="10">
        <f t="shared" si="777"/>
        <v>0</v>
      </c>
      <c r="AI597" s="10">
        <f t="shared" si="778"/>
        <v>0</v>
      </c>
      <c r="AJ597" s="10">
        <f t="shared" si="779"/>
        <v>0</v>
      </c>
      <c r="AK597" s="10">
        <f t="shared" si="780"/>
        <v>0</v>
      </c>
      <c r="AL597" s="10">
        <f t="shared" si="781"/>
        <v>0</v>
      </c>
      <c r="AM597" s="10">
        <f t="shared" si="782"/>
        <v>0</v>
      </c>
      <c r="AN597" s="46">
        <f t="shared" si="783"/>
        <v>0</v>
      </c>
      <c r="AO597" s="10">
        <f t="shared" si="784"/>
        <v>0</v>
      </c>
      <c r="AP597" s="10">
        <f t="shared" si="785"/>
        <v>0</v>
      </c>
      <c r="AQ597" s="10">
        <f t="shared" si="786"/>
        <v>0</v>
      </c>
      <c r="AR597" s="10">
        <f t="shared" si="787"/>
        <v>0</v>
      </c>
      <c r="AS597" s="10">
        <f t="shared" si="788"/>
        <v>0</v>
      </c>
      <c r="AT597" s="10">
        <f t="shared" si="789"/>
        <v>0</v>
      </c>
      <c r="AU597" s="10">
        <f t="shared" si="790"/>
        <v>0</v>
      </c>
      <c r="AV597" s="10">
        <f t="shared" si="791"/>
        <v>0</v>
      </c>
      <c r="AW597" s="10">
        <f t="shared" si="792"/>
        <v>0</v>
      </c>
      <c r="AX597" s="10">
        <f t="shared" si="793"/>
        <v>0</v>
      </c>
    </row>
    <row r="598" spans="1:50" x14ac:dyDescent="0.2">
      <c r="A598" s="8">
        <v>14750</v>
      </c>
      <c r="B598" s="89" t="str">
        <f t="shared" si="745"/>
        <v>Leeton</v>
      </c>
      <c r="C598" s="9" t="str">
        <f t="shared" si="746"/>
        <v>RAMJO Riverina</v>
      </c>
      <c r="D598" s="51" t="str">
        <f t="shared" si="747"/>
        <v>N</v>
      </c>
      <c r="E598" s="10" t="str">
        <f t="shared" si="748"/>
        <v>RMJO</v>
      </c>
      <c r="F598" s="10">
        <f t="shared" si="749"/>
        <v>11343</v>
      </c>
      <c r="G598" s="10">
        <f t="shared" si="750"/>
        <v>4170</v>
      </c>
      <c r="H598" s="10">
        <f t="shared" si="751"/>
        <v>2.7201438848920865</v>
      </c>
      <c r="I598" s="10">
        <f t="shared" si="752"/>
        <v>1167.2</v>
      </c>
      <c r="J598" s="10">
        <f t="shared" si="753"/>
        <v>9.6999999999999993</v>
      </c>
      <c r="K598" s="10">
        <f t="shared" si="754"/>
        <v>288</v>
      </c>
      <c r="L598" s="10" t="str">
        <f t="shared" si="755"/>
        <v>Y</v>
      </c>
      <c r="M598" s="10">
        <f t="shared" si="756"/>
        <v>4093</v>
      </c>
      <c r="N598" s="10">
        <f t="shared" si="757"/>
        <v>4014</v>
      </c>
      <c r="O598" s="10">
        <f t="shared" si="758"/>
        <v>0</v>
      </c>
      <c r="P598" s="10">
        <f t="shared" si="759"/>
        <v>0</v>
      </c>
      <c r="Q598" s="10">
        <f t="shared" si="760"/>
        <v>0</v>
      </c>
      <c r="R598" s="10" t="str">
        <f t="shared" si="761"/>
        <v>Yes</v>
      </c>
      <c r="S598" s="10">
        <f t="shared" si="762"/>
        <v>0</v>
      </c>
      <c r="T598" s="10">
        <f t="shared" si="763"/>
        <v>0</v>
      </c>
      <c r="U598" s="10">
        <f t="shared" si="764"/>
        <v>0</v>
      </c>
      <c r="V598" s="10">
        <f t="shared" si="765"/>
        <v>0</v>
      </c>
      <c r="W598" s="10">
        <f t="shared" si="766"/>
        <v>0</v>
      </c>
      <c r="X598" s="10">
        <f t="shared" si="767"/>
        <v>0</v>
      </c>
      <c r="Y598" s="10">
        <f t="shared" si="768"/>
        <v>0</v>
      </c>
      <c r="Z598" s="10">
        <f t="shared" si="769"/>
        <v>0</v>
      </c>
      <c r="AA598" s="10">
        <f t="shared" si="770"/>
        <v>0</v>
      </c>
      <c r="AB598" s="10">
        <f t="shared" si="771"/>
        <v>0</v>
      </c>
      <c r="AC598" s="10">
        <f t="shared" si="772"/>
        <v>0</v>
      </c>
      <c r="AD598" s="10">
        <f t="shared" si="773"/>
        <v>0</v>
      </c>
      <c r="AE598" s="10">
        <f t="shared" si="774"/>
        <v>0</v>
      </c>
      <c r="AF598" s="10">
        <f t="shared" si="775"/>
        <v>0</v>
      </c>
      <c r="AG598" s="10">
        <f t="shared" si="776"/>
        <v>0</v>
      </c>
      <c r="AH598" s="10">
        <f t="shared" si="777"/>
        <v>0</v>
      </c>
      <c r="AI598" s="10">
        <f t="shared" si="778"/>
        <v>0</v>
      </c>
      <c r="AJ598" s="10">
        <f t="shared" si="779"/>
        <v>0</v>
      </c>
      <c r="AK598" s="10">
        <f t="shared" si="780"/>
        <v>0</v>
      </c>
      <c r="AL598" s="10">
        <f t="shared" si="781"/>
        <v>0</v>
      </c>
      <c r="AM598" s="10">
        <f t="shared" si="782"/>
        <v>0</v>
      </c>
      <c r="AN598" s="46">
        <f t="shared" si="783"/>
        <v>0</v>
      </c>
      <c r="AO598" s="10">
        <f t="shared" si="784"/>
        <v>0</v>
      </c>
      <c r="AP598" s="10">
        <f t="shared" si="785"/>
        <v>0</v>
      </c>
      <c r="AQ598" s="10">
        <f t="shared" si="786"/>
        <v>0</v>
      </c>
      <c r="AR598" s="10">
        <f t="shared" si="787"/>
        <v>0</v>
      </c>
      <c r="AS598" s="10">
        <f t="shared" si="788"/>
        <v>0</v>
      </c>
      <c r="AT598" s="10">
        <f t="shared" si="789"/>
        <v>0</v>
      </c>
      <c r="AU598" s="10">
        <f t="shared" si="790"/>
        <v>0</v>
      </c>
      <c r="AV598" s="10">
        <f t="shared" si="791"/>
        <v>0</v>
      </c>
      <c r="AW598" s="10">
        <f t="shared" si="792"/>
        <v>0</v>
      </c>
      <c r="AX598" s="10">
        <f t="shared" si="793"/>
        <v>0</v>
      </c>
    </row>
    <row r="599" spans="1:50" x14ac:dyDescent="0.2">
      <c r="A599" s="8">
        <v>15560</v>
      </c>
      <c r="B599" s="89" t="str">
        <f t="shared" si="745"/>
        <v>Murrumbidgee</v>
      </c>
      <c r="C599" s="9" t="str">
        <f t="shared" si="746"/>
        <v>RAMJO Riverina</v>
      </c>
      <c r="D599" s="51" t="str">
        <f t="shared" si="747"/>
        <v>N</v>
      </c>
      <c r="E599" s="10" t="str">
        <f t="shared" si="748"/>
        <v>RMJO</v>
      </c>
      <c r="F599" s="10">
        <f t="shared" si="749"/>
        <v>3916</v>
      </c>
      <c r="G599" s="10">
        <f t="shared" si="750"/>
        <v>2613</v>
      </c>
      <c r="H599" s="10">
        <f t="shared" si="751"/>
        <v>1.4986605434366629</v>
      </c>
      <c r="I599" s="10">
        <f t="shared" si="752"/>
        <v>6880.8</v>
      </c>
      <c r="J599" s="10">
        <f t="shared" si="753"/>
        <v>0.6</v>
      </c>
      <c r="K599" s="10">
        <f t="shared" si="754"/>
        <v>290</v>
      </c>
      <c r="L599" s="10" t="str">
        <f t="shared" si="755"/>
        <v>Y</v>
      </c>
      <c r="M599" s="10">
        <f t="shared" si="756"/>
        <v>941</v>
      </c>
      <c r="N599" s="10">
        <f t="shared" si="757"/>
        <v>811</v>
      </c>
      <c r="O599" s="10">
        <f t="shared" si="758"/>
        <v>0</v>
      </c>
      <c r="P599" s="10">
        <f t="shared" si="759"/>
        <v>0</v>
      </c>
      <c r="Q599" s="10">
        <f t="shared" si="760"/>
        <v>2613</v>
      </c>
      <c r="R599" s="10" t="str">
        <f t="shared" si="761"/>
        <v>Yes</v>
      </c>
      <c r="S599" s="10" t="str">
        <f t="shared" si="762"/>
        <v>Jerilderie Tip</v>
      </c>
      <c r="T599" s="10" t="str">
        <f t="shared" si="763"/>
        <v>Jerilderie Common Tip</v>
      </c>
      <c r="U599" s="10" t="str">
        <f t="shared" si="764"/>
        <v>Darlington Point Garbage Depot</v>
      </c>
      <c r="V599" s="10" t="str">
        <f t="shared" si="765"/>
        <v>Coleambally Garbage Depot</v>
      </c>
      <c r="W599" s="10">
        <f t="shared" si="766"/>
        <v>0</v>
      </c>
      <c r="X599" s="10">
        <f t="shared" si="767"/>
        <v>0</v>
      </c>
      <c r="Y599" s="10">
        <f t="shared" si="768"/>
        <v>0</v>
      </c>
      <c r="Z599" s="10">
        <f t="shared" si="769"/>
        <v>0</v>
      </c>
      <c r="AA599" s="10">
        <f t="shared" si="770"/>
        <v>0</v>
      </c>
      <c r="AB599" s="10">
        <f t="shared" si="771"/>
        <v>0</v>
      </c>
      <c r="AC599" s="10">
        <f t="shared" si="772"/>
        <v>0</v>
      </c>
      <c r="AD599" s="10">
        <f t="shared" si="773"/>
        <v>0</v>
      </c>
      <c r="AE599" s="10">
        <f t="shared" si="774"/>
        <v>0</v>
      </c>
      <c r="AF599" s="10">
        <f t="shared" si="775"/>
        <v>0</v>
      </c>
      <c r="AG599" s="10">
        <f t="shared" si="776"/>
        <v>0</v>
      </c>
      <c r="AH599" s="10">
        <f t="shared" si="777"/>
        <v>0</v>
      </c>
      <c r="AI599" s="10">
        <f t="shared" si="778"/>
        <v>0</v>
      </c>
      <c r="AJ599" s="10">
        <f t="shared" si="779"/>
        <v>0</v>
      </c>
      <c r="AK599" s="10">
        <f t="shared" si="780"/>
        <v>0</v>
      </c>
      <c r="AL599" s="10">
        <f t="shared" si="781"/>
        <v>0</v>
      </c>
      <c r="AM599" s="10">
        <f t="shared" si="782"/>
        <v>0</v>
      </c>
      <c r="AN599" s="46">
        <f t="shared" si="783"/>
        <v>0</v>
      </c>
      <c r="AO599" s="10">
        <f t="shared" si="784"/>
        <v>0</v>
      </c>
      <c r="AP599" s="10">
        <f t="shared" si="785"/>
        <v>0</v>
      </c>
      <c r="AQ599" s="10">
        <f t="shared" si="786"/>
        <v>0</v>
      </c>
      <c r="AR599" s="10">
        <f t="shared" si="787"/>
        <v>0</v>
      </c>
      <c r="AS599" s="10">
        <f t="shared" si="788"/>
        <v>0</v>
      </c>
      <c r="AT599" s="10">
        <f t="shared" si="789"/>
        <v>0</v>
      </c>
      <c r="AU599" s="10">
        <f t="shared" si="790"/>
        <v>0</v>
      </c>
      <c r="AV599" s="10">
        <f t="shared" si="791"/>
        <v>0</v>
      </c>
      <c r="AW599" s="10">
        <f t="shared" si="792"/>
        <v>0</v>
      </c>
      <c r="AX599" s="10">
        <f t="shared" si="793"/>
        <v>0</v>
      </c>
    </row>
    <row r="600" spans="1:50" ht="13.5" thickBot="1" x14ac:dyDescent="0.25">
      <c r="A600" s="8">
        <v>15800</v>
      </c>
      <c r="B600" s="89" t="str">
        <f t="shared" si="745"/>
        <v>Narrandera</v>
      </c>
      <c r="C600" s="9" t="str">
        <f t="shared" si="746"/>
        <v>RAMJO Riverina</v>
      </c>
      <c r="D600" s="51" t="str">
        <f t="shared" si="747"/>
        <v>N</v>
      </c>
      <c r="E600" s="10" t="str">
        <f t="shared" si="748"/>
        <v>RMJO</v>
      </c>
      <c r="F600" s="10">
        <f t="shared" si="749"/>
        <v>5858</v>
      </c>
      <c r="G600" s="10">
        <f t="shared" si="750"/>
        <v>2575</v>
      </c>
      <c r="H600" s="10">
        <f t="shared" si="751"/>
        <v>2.2749514563106796</v>
      </c>
      <c r="I600" s="10">
        <f t="shared" si="752"/>
        <v>4116.3</v>
      </c>
      <c r="J600" s="10">
        <f t="shared" si="753"/>
        <v>1.4</v>
      </c>
      <c r="K600" s="10">
        <f t="shared" si="754"/>
        <v>221.8</v>
      </c>
      <c r="L600" s="10" t="str">
        <f t="shared" si="755"/>
        <v>Y</v>
      </c>
      <c r="M600" s="10">
        <f t="shared" si="756"/>
        <v>2575</v>
      </c>
      <c r="N600" s="10">
        <f t="shared" si="757"/>
        <v>2156</v>
      </c>
      <c r="O600" s="10">
        <f t="shared" si="758"/>
        <v>0</v>
      </c>
      <c r="P600" s="10">
        <f t="shared" si="759"/>
        <v>0</v>
      </c>
      <c r="Q600" s="10">
        <f t="shared" si="760"/>
        <v>2575</v>
      </c>
      <c r="R600" s="10" t="str">
        <f t="shared" si="761"/>
        <v>Yes</v>
      </c>
      <c r="S600" s="10" t="str">
        <f t="shared" si="762"/>
        <v>Narrandera Landfill</v>
      </c>
      <c r="T600" s="10" t="str">
        <f t="shared" si="763"/>
        <v>Barellan Landfill</v>
      </c>
      <c r="U600" s="10">
        <f t="shared" si="764"/>
        <v>0</v>
      </c>
      <c r="V600" s="10">
        <f t="shared" si="765"/>
        <v>0</v>
      </c>
      <c r="W600" s="10">
        <f t="shared" si="766"/>
        <v>0</v>
      </c>
      <c r="X600" s="10">
        <f t="shared" si="767"/>
        <v>0</v>
      </c>
      <c r="Y600" s="10">
        <f t="shared" si="768"/>
        <v>0</v>
      </c>
      <c r="Z600" s="10">
        <f t="shared" si="769"/>
        <v>0</v>
      </c>
      <c r="AA600" s="10">
        <f t="shared" si="770"/>
        <v>0</v>
      </c>
      <c r="AB600" s="10">
        <f t="shared" si="771"/>
        <v>0</v>
      </c>
      <c r="AC600" s="10">
        <f t="shared" si="772"/>
        <v>0</v>
      </c>
      <c r="AD600" s="10">
        <f t="shared" si="773"/>
        <v>0</v>
      </c>
      <c r="AE600" s="10">
        <f t="shared" si="774"/>
        <v>0</v>
      </c>
      <c r="AF600" s="10">
        <f t="shared" si="775"/>
        <v>0</v>
      </c>
      <c r="AG600" s="10">
        <f t="shared" si="776"/>
        <v>0</v>
      </c>
      <c r="AH600" s="10">
        <f t="shared" si="777"/>
        <v>0</v>
      </c>
      <c r="AI600" s="10">
        <f t="shared" si="778"/>
        <v>0</v>
      </c>
      <c r="AJ600" s="10">
        <f t="shared" si="779"/>
        <v>0</v>
      </c>
      <c r="AK600" s="10">
        <f t="shared" si="780"/>
        <v>0</v>
      </c>
      <c r="AL600" s="10">
        <f t="shared" si="781"/>
        <v>0</v>
      </c>
      <c r="AM600" s="10">
        <f t="shared" si="782"/>
        <v>0</v>
      </c>
      <c r="AN600" s="46">
        <f t="shared" si="783"/>
        <v>0</v>
      </c>
      <c r="AO600" s="10">
        <f t="shared" si="784"/>
        <v>0</v>
      </c>
      <c r="AP600" s="10">
        <f t="shared" si="785"/>
        <v>0</v>
      </c>
      <c r="AQ600" s="10">
        <f t="shared" si="786"/>
        <v>0</v>
      </c>
      <c r="AR600" s="10">
        <f t="shared" si="787"/>
        <v>0</v>
      </c>
      <c r="AS600" s="10">
        <f t="shared" si="788"/>
        <v>0</v>
      </c>
      <c r="AT600" s="10">
        <f t="shared" si="789"/>
        <v>0</v>
      </c>
      <c r="AU600" s="10">
        <f t="shared" si="790"/>
        <v>0</v>
      </c>
      <c r="AV600" s="10">
        <f t="shared" si="791"/>
        <v>0</v>
      </c>
      <c r="AW600" s="10">
        <f t="shared" si="792"/>
        <v>0</v>
      </c>
      <c r="AX600" s="10">
        <f t="shared" si="793"/>
        <v>0</v>
      </c>
    </row>
    <row r="601" spans="1:50" ht="13.5" thickTop="1" x14ac:dyDescent="0.2">
      <c r="A601" s="11"/>
      <c r="B601" s="11"/>
      <c r="C601" s="11" t="s">
        <v>30</v>
      </c>
      <c r="D601" s="11"/>
      <c r="E601" s="12"/>
      <c r="F601" s="13">
        <f t="shared" ref="F601:AX601" si="794">COUNTIF(F595:F600,"&gt;0")</f>
        <v>6</v>
      </c>
      <c r="G601" s="13">
        <f t="shared" si="794"/>
        <v>6</v>
      </c>
      <c r="H601" s="13">
        <f t="shared" si="794"/>
        <v>6</v>
      </c>
      <c r="I601" s="13">
        <f t="shared" si="794"/>
        <v>6</v>
      </c>
      <c r="J601" s="13">
        <f t="shared" si="794"/>
        <v>6</v>
      </c>
      <c r="K601" s="13">
        <f t="shared" si="794"/>
        <v>6</v>
      </c>
      <c r="L601" s="13">
        <f t="shared" si="794"/>
        <v>0</v>
      </c>
      <c r="M601" s="13">
        <f t="shared" si="794"/>
        <v>6</v>
      </c>
      <c r="N601" s="13">
        <f t="shared" si="794"/>
        <v>4</v>
      </c>
      <c r="O601" s="13">
        <f t="shared" si="794"/>
        <v>0</v>
      </c>
      <c r="P601" s="13">
        <f t="shared" si="794"/>
        <v>0</v>
      </c>
      <c r="Q601" s="13">
        <f t="shared" si="794"/>
        <v>2</v>
      </c>
      <c r="R601" s="13">
        <f t="shared" si="794"/>
        <v>0</v>
      </c>
      <c r="S601" s="13">
        <f t="shared" si="794"/>
        <v>0</v>
      </c>
      <c r="T601" s="13">
        <f t="shared" si="794"/>
        <v>0</v>
      </c>
      <c r="U601" s="13">
        <f t="shared" si="794"/>
        <v>0</v>
      </c>
      <c r="V601" s="13">
        <f t="shared" si="794"/>
        <v>0</v>
      </c>
      <c r="W601" s="13">
        <f t="shared" si="794"/>
        <v>0</v>
      </c>
      <c r="X601" s="13">
        <f t="shared" si="794"/>
        <v>0</v>
      </c>
      <c r="Y601" s="13">
        <f t="shared" si="794"/>
        <v>0</v>
      </c>
      <c r="Z601" s="13">
        <f t="shared" si="794"/>
        <v>0</v>
      </c>
      <c r="AA601" s="13">
        <f t="shared" si="794"/>
        <v>0</v>
      </c>
      <c r="AB601" s="13">
        <f t="shared" si="794"/>
        <v>0</v>
      </c>
      <c r="AC601" s="13">
        <f t="shared" si="794"/>
        <v>0</v>
      </c>
      <c r="AD601" s="13">
        <f t="shared" si="794"/>
        <v>0</v>
      </c>
      <c r="AE601" s="13">
        <f t="shared" si="794"/>
        <v>0</v>
      </c>
      <c r="AF601" s="13">
        <f t="shared" si="794"/>
        <v>0</v>
      </c>
      <c r="AG601" s="13">
        <f t="shared" si="794"/>
        <v>0</v>
      </c>
      <c r="AH601" s="13">
        <f t="shared" si="794"/>
        <v>0</v>
      </c>
      <c r="AI601" s="13">
        <f t="shared" si="794"/>
        <v>0</v>
      </c>
      <c r="AJ601" s="13">
        <f t="shared" si="794"/>
        <v>0</v>
      </c>
      <c r="AK601" s="13">
        <f t="shared" si="794"/>
        <v>0</v>
      </c>
      <c r="AL601" s="13">
        <f t="shared" si="794"/>
        <v>0</v>
      </c>
      <c r="AM601" s="44">
        <f t="shared" si="794"/>
        <v>0</v>
      </c>
      <c r="AN601" s="13">
        <f t="shared" si="794"/>
        <v>0</v>
      </c>
      <c r="AO601" s="13">
        <f t="shared" si="794"/>
        <v>0</v>
      </c>
      <c r="AP601" s="13">
        <f t="shared" si="794"/>
        <v>0</v>
      </c>
      <c r="AQ601" s="13">
        <f t="shared" si="794"/>
        <v>0</v>
      </c>
      <c r="AR601" s="13">
        <f t="shared" si="794"/>
        <v>0</v>
      </c>
      <c r="AS601" s="13">
        <f t="shared" si="794"/>
        <v>0</v>
      </c>
      <c r="AT601" s="13">
        <f t="shared" si="794"/>
        <v>0</v>
      </c>
      <c r="AU601" s="13">
        <f t="shared" si="794"/>
        <v>0</v>
      </c>
      <c r="AV601" s="13">
        <f t="shared" si="794"/>
        <v>0</v>
      </c>
      <c r="AW601" s="13">
        <f t="shared" si="794"/>
        <v>0</v>
      </c>
      <c r="AX601" s="13">
        <f t="shared" si="794"/>
        <v>0</v>
      </c>
    </row>
    <row r="602" spans="1:50" x14ac:dyDescent="0.2">
      <c r="A602" s="8"/>
      <c r="B602" s="8"/>
      <c r="C602" s="8" t="s">
        <v>31</v>
      </c>
      <c r="D602" s="8"/>
      <c r="E602" s="80"/>
      <c r="F602" s="15">
        <f t="shared" ref="F602:AX602" si="795">SUM(F595:F600)</f>
        <v>54011</v>
      </c>
      <c r="G602" s="15">
        <f t="shared" si="795"/>
        <v>26153</v>
      </c>
      <c r="H602" s="110">
        <f>F602/G602</f>
        <v>2.0651932856651243</v>
      </c>
      <c r="I602" s="15">
        <f t="shared" si="795"/>
        <v>44063.9</v>
      </c>
      <c r="J602" s="15">
        <f t="shared" si="795"/>
        <v>28.700000000000003</v>
      </c>
      <c r="K602" s="15">
        <f t="shared" si="795"/>
        <v>1595.8</v>
      </c>
      <c r="L602" s="15">
        <f t="shared" si="795"/>
        <v>0</v>
      </c>
      <c r="M602" s="15">
        <f t="shared" si="795"/>
        <v>18019</v>
      </c>
      <c r="N602" s="15">
        <f t="shared" si="795"/>
        <v>15128</v>
      </c>
      <c r="O602" s="15">
        <f t="shared" si="795"/>
        <v>0</v>
      </c>
      <c r="P602" s="15">
        <f t="shared" si="795"/>
        <v>0</v>
      </c>
      <c r="Q602" s="15">
        <f t="shared" si="795"/>
        <v>5188</v>
      </c>
      <c r="R602" s="15">
        <f t="shared" si="795"/>
        <v>0</v>
      </c>
      <c r="S602" s="15">
        <f t="shared" si="795"/>
        <v>0</v>
      </c>
      <c r="T602" s="15">
        <f t="shared" si="795"/>
        <v>0</v>
      </c>
      <c r="U602" s="15">
        <f t="shared" si="795"/>
        <v>0</v>
      </c>
      <c r="V602" s="15">
        <f t="shared" si="795"/>
        <v>0</v>
      </c>
      <c r="W602" s="15">
        <f t="shared" si="795"/>
        <v>0</v>
      </c>
      <c r="X602" s="15">
        <f t="shared" si="795"/>
        <v>0</v>
      </c>
      <c r="Y602" s="15">
        <f t="shared" si="795"/>
        <v>0</v>
      </c>
      <c r="Z602" s="15">
        <f t="shared" si="795"/>
        <v>0</v>
      </c>
      <c r="AA602" s="15">
        <f t="shared" si="795"/>
        <v>0</v>
      </c>
      <c r="AB602" s="15">
        <f t="shared" si="795"/>
        <v>0</v>
      </c>
      <c r="AC602" s="15">
        <f t="shared" si="795"/>
        <v>0</v>
      </c>
      <c r="AD602" s="15">
        <f t="shared" si="795"/>
        <v>0</v>
      </c>
      <c r="AE602" s="15">
        <f t="shared" si="795"/>
        <v>0</v>
      </c>
      <c r="AF602" s="15">
        <f t="shared" si="795"/>
        <v>0</v>
      </c>
      <c r="AG602" s="15">
        <f t="shared" si="795"/>
        <v>0</v>
      </c>
      <c r="AH602" s="15">
        <f t="shared" si="795"/>
        <v>0</v>
      </c>
      <c r="AI602" s="15">
        <f t="shared" si="795"/>
        <v>0</v>
      </c>
      <c r="AJ602" s="15">
        <f t="shared" si="795"/>
        <v>0</v>
      </c>
      <c r="AK602" s="15">
        <f t="shared" si="795"/>
        <v>0</v>
      </c>
      <c r="AL602" s="15">
        <f t="shared" si="795"/>
        <v>0</v>
      </c>
      <c r="AM602" s="45">
        <f t="shared" si="795"/>
        <v>0</v>
      </c>
      <c r="AN602" s="15">
        <f t="shared" si="795"/>
        <v>0</v>
      </c>
      <c r="AO602" s="15">
        <f t="shared" si="795"/>
        <v>0</v>
      </c>
      <c r="AP602" s="15">
        <f t="shared" si="795"/>
        <v>0</v>
      </c>
      <c r="AQ602" s="15">
        <f t="shared" si="795"/>
        <v>0</v>
      </c>
      <c r="AR602" s="15">
        <f t="shared" si="795"/>
        <v>0</v>
      </c>
      <c r="AS602" s="15">
        <f t="shared" si="795"/>
        <v>0</v>
      </c>
      <c r="AT602" s="15">
        <f t="shared" si="795"/>
        <v>0</v>
      </c>
      <c r="AU602" s="15">
        <f t="shared" si="795"/>
        <v>0</v>
      </c>
      <c r="AV602" s="15">
        <f t="shared" si="795"/>
        <v>0</v>
      </c>
      <c r="AW602" s="15">
        <f t="shared" si="795"/>
        <v>0</v>
      </c>
      <c r="AX602" s="15">
        <f t="shared" si="795"/>
        <v>0</v>
      </c>
    </row>
    <row r="603" spans="1:50" x14ac:dyDescent="0.2">
      <c r="A603" s="8"/>
      <c r="B603" s="8"/>
      <c r="C603" s="8" t="s">
        <v>32</v>
      </c>
      <c r="D603" s="8"/>
      <c r="E603" s="80"/>
      <c r="F603" s="10">
        <f t="shared" ref="F603:AX603" si="796">MIN(F595:F600)</f>
        <v>2796</v>
      </c>
      <c r="G603" s="10">
        <f t="shared" si="796"/>
        <v>1343</v>
      </c>
      <c r="H603" s="10">
        <f t="shared" si="796"/>
        <v>1.4986605434366629</v>
      </c>
      <c r="I603" s="10">
        <f t="shared" si="796"/>
        <v>1167.2</v>
      </c>
      <c r="J603" s="10">
        <f t="shared" si="796"/>
        <v>0.1</v>
      </c>
      <c r="K603" s="10">
        <f t="shared" si="796"/>
        <v>203</v>
      </c>
      <c r="L603" s="10">
        <f t="shared" si="796"/>
        <v>0</v>
      </c>
      <c r="M603" s="10">
        <f t="shared" si="796"/>
        <v>608</v>
      </c>
      <c r="N603" s="10">
        <f t="shared" si="796"/>
        <v>0</v>
      </c>
      <c r="O603" s="10">
        <f t="shared" si="796"/>
        <v>0</v>
      </c>
      <c r="P603" s="10">
        <f t="shared" si="796"/>
        <v>0</v>
      </c>
      <c r="Q603" s="10">
        <f t="shared" si="796"/>
        <v>0</v>
      </c>
      <c r="R603" s="10">
        <f t="shared" si="796"/>
        <v>0</v>
      </c>
      <c r="S603" s="10">
        <f t="shared" si="796"/>
        <v>0</v>
      </c>
      <c r="T603" s="10">
        <f t="shared" si="796"/>
        <v>0</v>
      </c>
      <c r="U603" s="10">
        <f t="shared" si="796"/>
        <v>0</v>
      </c>
      <c r="V603" s="10">
        <f t="shared" si="796"/>
        <v>0</v>
      </c>
      <c r="W603" s="10">
        <f t="shared" si="796"/>
        <v>0</v>
      </c>
      <c r="X603" s="10">
        <f t="shared" si="796"/>
        <v>0</v>
      </c>
      <c r="Y603" s="10">
        <f t="shared" si="796"/>
        <v>0</v>
      </c>
      <c r="Z603" s="10">
        <f t="shared" si="796"/>
        <v>0</v>
      </c>
      <c r="AA603" s="10">
        <f t="shared" si="796"/>
        <v>0</v>
      </c>
      <c r="AB603" s="10">
        <f t="shared" si="796"/>
        <v>0</v>
      </c>
      <c r="AC603" s="10">
        <f t="shared" si="796"/>
        <v>0</v>
      </c>
      <c r="AD603" s="10">
        <f t="shared" si="796"/>
        <v>0</v>
      </c>
      <c r="AE603" s="10">
        <f t="shared" si="796"/>
        <v>0</v>
      </c>
      <c r="AF603" s="10">
        <f t="shared" si="796"/>
        <v>0</v>
      </c>
      <c r="AG603" s="10">
        <f t="shared" si="796"/>
        <v>0</v>
      </c>
      <c r="AH603" s="10">
        <f t="shared" si="796"/>
        <v>0</v>
      </c>
      <c r="AI603" s="10">
        <f t="shared" si="796"/>
        <v>0</v>
      </c>
      <c r="AJ603" s="10">
        <f t="shared" si="796"/>
        <v>0</v>
      </c>
      <c r="AK603" s="10">
        <f t="shared" si="796"/>
        <v>0</v>
      </c>
      <c r="AL603" s="10">
        <f t="shared" si="796"/>
        <v>0</v>
      </c>
      <c r="AM603" s="46">
        <f t="shared" si="796"/>
        <v>0</v>
      </c>
      <c r="AN603" s="10">
        <f t="shared" si="796"/>
        <v>0</v>
      </c>
      <c r="AO603" s="10">
        <f t="shared" si="796"/>
        <v>0</v>
      </c>
      <c r="AP603" s="10">
        <f t="shared" si="796"/>
        <v>0</v>
      </c>
      <c r="AQ603" s="10">
        <f t="shared" si="796"/>
        <v>0</v>
      </c>
      <c r="AR603" s="10">
        <f t="shared" si="796"/>
        <v>0</v>
      </c>
      <c r="AS603" s="10">
        <f t="shared" si="796"/>
        <v>0</v>
      </c>
      <c r="AT603" s="10">
        <f t="shared" si="796"/>
        <v>0</v>
      </c>
      <c r="AU603" s="10">
        <f t="shared" si="796"/>
        <v>0</v>
      </c>
      <c r="AV603" s="10">
        <f t="shared" si="796"/>
        <v>0</v>
      </c>
      <c r="AW603" s="10">
        <f t="shared" si="796"/>
        <v>0</v>
      </c>
      <c r="AX603" s="10">
        <f t="shared" si="796"/>
        <v>0</v>
      </c>
    </row>
    <row r="604" spans="1:50" x14ac:dyDescent="0.2">
      <c r="A604" s="8"/>
      <c r="B604" s="8"/>
      <c r="C604" s="8" t="s">
        <v>33</v>
      </c>
      <c r="D604" s="8"/>
      <c r="E604" s="80"/>
      <c r="F604" s="10">
        <f t="shared" ref="F604:AX604" si="797">MAX(F595:F600)</f>
        <v>27155</v>
      </c>
      <c r="G604" s="10">
        <f t="shared" si="797"/>
        <v>13653</v>
      </c>
      <c r="H604" s="10">
        <f t="shared" si="797"/>
        <v>2.7201438848920865</v>
      </c>
      <c r="I604" s="10">
        <f t="shared" si="797"/>
        <v>18934.5</v>
      </c>
      <c r="J604" s="10">
        <f t="shared" si="797"/>
        <v>16.600000000000001</v>
      </c>
      <c r="K604" s="10">
        <f t="shared" si="797"/>
        <v>315</v>
      </c>
      <c r="L604" s="10">
        <f t="shared" si="797"/>
        <v>0</v>
      </c>
      <c r="M604" s="10">
        <f t="shared" si="797"/>
        <v>8594</v>
      </c>
      <c r="N604" s="10">
        <f t="shared" si="797"/>
        <v>8147</v>
      </c>
      <c r="O604" s="10">
        <f t="shared" si="797"/>
        <v>0</v>
      </c>
      <c r="P604" s="10">
        <f t="shared" si="797"/>
        <v>0</v>
      </c>
      <c r="Q604" s="10">
        <f t="shared" si="797"/>
        <v>2613</v>
      </c>
      <c r="R604" s="10">
        <f t="shared" si="797"/>
        <v>0</v>
      </c>
      <c r="S604" s="10">
        <f t="shared" si="797"/>
        <v>0</v>
      </c>
      <c r="T604" s="10">
        <f t="shared" si="797"/>
        <v>0</v>
      </c>
      <c r="U604" s="10">
        <f t="shared" si="797"/>
        <v>0</v>
      </c>
      <c r="V604" s="10">
        <f t="shared" si="797"/>
        <v>0</v>
      </c>
      <c r="W604" s="10">
        <f t="shared" si="797"/>
        <v>0</v>
      </c>
      <c r="X604" s="10">
        <f t="shared" si="797"/>
        <v>0</v>
      </c>
      <c r="Y604" s="10">
        <f t="shared" si="797"/>
        <v>0</v>
      </c>
      <c r="Z604" s="10">
        <f t="shared" si="797"/>
        <v>0</v>
      </c>
      <c r="AA604" s="10">
        <f t="shared" si="797"/>
        <v>0</v>
      </c>
      <c r="AB604" s="10">
        <f t="shared" si="797"/>
        <v>0</v>
      </c>
      <c r="AC604" s="10">
        <f t="shared" si="797"/>
        <v>0</v>
      </c>
      <c r="AD604" s="10">
        <f t="shared" si="797"/>
        <v>0</v>
      </c>
      <c r="AE604" s="10">
        <f t="shared" si="797"/>
        <v>0</v>
      </c>
      <c r="AF604" s="10">
        <f t="shared" si="797"/>
        <v>0</v>
      </c>
      <c r="AG604" s="10">
        <f t="shared" si="797"/>
        <v>0</v>
      </c>
      <c r="AH604" s="10">
        <f t="shared" si="797"/>
        <v>0</v>
      </c>
      <c r="AI604" s="10">
        <f t="shared" si="797"/>
        <v>0</v>
      </c>
      <c r="AJ604" s="10">
        <f t="shared" si="797"/>
        <v>0</v>
      </c>
      <c r="AK604" s="10">
        <f t="shared" si="797"/>
        <v>0</v>
      </c>
      <c r="AL604" s="10">
        <f t="shared" si="797"/>
        <v>0</v>
      </c>
      <c r="AM604" s="46">
        <f t="shared" si="797"/>
        <v>0</v>
      </c>
      <c r="AN604" s="10">
        <f t="shared" si="797"/>
        <v>0</v>
      </c>
      <c r="AO604" s="10">
        <f t="shared" si="797"/>
        <v>0</v>
      </c>
      <c r="AP604" s="10">
        <f t="shared" si="797"/>
        <v>0</v>
      </c>
      <c r="AQ604" s="10">
        <f t="shared" si="797"/>
        <v>0</v>
      </c>
      <c r="AR604" s="10">
        <f t="shared" si="797"/>
        <v>0</v>
      </c>
      <c r="AS604" s="10">
        <f t="shared" si="797"/>
        <v>0</v>
      </c>
      <c r="AT604" s="10">
        <f t="shared" si="797"/>
        <v>0</v>
      </c>
      <c r="AU604" s="10">
        <f t="shared" si="797"/>
        <v>0</v>
      </c>
      <c r="AV604" s="10">
        <f t="shared" si="797"/>
        <v>0</v>
      </c>
      <c r="AW604" s="10">
        <f t="shared" si="797"/>
        <v>0</v>
      </c>
      <c r="AX604" s="10">
        <f t="shared" si="797"/>
        <v>0</v>
      </c>
    </row>
    <row r="605" spans="1:50" x14ac:dyDescent="0.2">
      <c r="A605" s="8"/>
      <c r="B605" s="8"/>
      <c r="C605" s="8" t="s">
        <v>34</v>
      </c>
      <c r="D605" s="8"/>
      <c r="E605" s="80"/>
      <c r="F605" s="10">
        <f t="shared" ref="F605:AX605" si="798">AVERAGE(F595:F600)</f>
        <v>9001.8333333333339</v>
      </c>
      <c r="G605" s="10">
        <f t="shared" si="798"/>
        <v>4358.833333333333</v>
      </c>
      <c r="H605" s="10">
        <f t="shared" si="798"/>
        <v>2.03341851045806</v>
      </c>
      <c r="I605" s="10">
        <f t="shared" si="798"/>
        <v>7343.9833333333336</v>
      </c>
      <c r="J605" s="10">
        <f t="shared" si="798"/>
        <v>4.7833333333333341</v>
      </c>
      <c r="K605" s="10">
        <f t="shared" si="798"/>
        <v>265.96666666666664</v>
      </c>
      <c r="L605" s="10" t="e">
        <f t="shared" si="798"/>
        <v>#DIV/0!</v>
      </c>
      <c r="M605" s="10">
        <f t="shared" si="798"/>
        <v>3003.1666666666665</v>
      </c>
      <c r="N605" s="10">
        <f t="shared" si="798"/>
        <v>2521.3333333333335</v>
      </c>
      <c r="O605" s="10">
        <f t="shared" si="798"/>
        <v>0</v>
      </c>
      <c r="P605" s="10">
        <f t="shared" si="798"/>
        <v>0</v>
      </c>
      <c r="Q605" s="10">
        <f t="shared" si="798"/>
        <v>864.66666666666663</v>
      </c>
      <c r="R605" s="10" t="e">
        <f t="shared" si="798"/>
        <v>#DIV/0!</v>
      </c>
      <c r="S605" s="10">
        <f t="shared" si="798"/>
        <v>0</v>
      </c>
      <c r="T605" s="10">
        <f t="shared" si="798"/>
        <v>0</v>
      </c>
      <c r="U605" s="10">
        <f t="shared" si="798"/>
        <v>0</v>
      </c>
      <c r="V605" s="10">
        <f t="shared" si="798"/>
        <v>0</v>
      </c>
      <c r="W605" s="10">
        <f t="shared" si="798"/>
        <v>0</v>
      </c>
      <c r="X605" s="10">
        <f t="shared" si="798"/>
        <v>0</v>
      </c>
      <c r="Y605" s="10">
        <f t="shared" si="798"/>
        <v>0</v>
      </c>
      <c r="Z605" s="10">
        <f t="shared" si="798"/>
        <v>0</v>
      </c>
      <c r="AA605" s="10">
        <f t="shared" si="798"/>
        <v>0</v>
      </c>
      <c r="AB605" s="10">
        <f t="shared" si="798"/>
        <v>0</v>
      </c>
      <c r="AC605" s="10">
        <f t="shared" si="798"/>
        <v>0</v>
      </c>
      <c r="AD605" s="10">
        <f t="shared" si="798"/>
        <v>0</v>
      </c>
      <c r="AE605" s="10">
        <f t="shared" si="798"/>
        <v>0</v>
      </c>
      <c r="AF605" s="10">
        <f t="shared" si="798"/>
        <v>0</v>
      </c>
      <c r="AG605" s="10">
        <f t="shared" si="798"/>
        <v>0</v>
      </c>
      <c r="AH605" s="10">
        <f t="shared" si="798"/>
        <v>0</v>
      </c>
      <c r="AI605" s="10">
        <f t="shared" si="798"/>
        <v>0</v>
      </c>
      <c r="AJ605" s="10">
        <f t="shared" si="798"/>
        <v>0</v>
      </c>
      <c r="AK605" s="10">
        <f t="shared" si="798"/>
        <v>0</v>
      </c>
      <c r="AL605" s="10">
        <f t="shared" si="798"/>
        <v>0</v>
      </c>
      <c r="AM605" s="46">
        <f t="shared" si="798"/>
        <v>0</v>
      </c>
      <c r="AN605" s="10">
        <f t="shared" si="798"/>
        <v>0</v>
      </c>
      <c r="AO605" s="10">
        <f t="shared" si="798"/>
        <v>0</v>
      </c>
      <c r="AP605" s="10">
        <f t="shared" si="798"/>
        <v>0</v>
      </c>
      <c r="AQ605" s="10">
        <f t="shared" si="798"/>
        <v>0</v>
      </c>
      <c r="AR605" s="10">
        <f t="shared" si="798"/>
        <v>0</v>
      </c>
      <c r="AS605" s="10">
        <f t="shared" si="798"/>
        <v>0</v>
      </c>
      <c r="AT605" s="10">
        <f t="shared" si="798"/>
        <v>0</v>
      </c>
      <c r="AU605" s="10">
        <f t="shared" si="798"/>
        <v>0</v>
      </c>
      <c r="AV605" s="10">
        <f t="shared" si="798"/>
        <v>0</v>
      </c>
      <c r="AW605" s="10">
        <f t="shared" si="798"/>
        <v>0</v>
      </c>
      <c r="AX605" s="10">
        <f t="shared" si="798"/>
        <v>0</v>
      </c>
    </row>
    <row r="606" spans="1:50" ht="13.5" thickBot="1" x14ac:dyDescent="0.25">
      <c r="A606" s="16"/>
      <c r="B606" s="16"/>
      <c r="C606" s="16" t="s">
        <v>35</v>
      </c>
      <c r="D606" s="16"/>
      <c r="E606" s="80"/>
      <c r="F606" s="18">
        <f t="shared" ref="F606:AX606" si="799">MEDIAN(F595:F600)</f>
        <v>4887</v>
      </c>
      <c r="G606" s="18">
        <f t="shared" si="799"/>
        <v>2594</v>
      </c>
      <c r="H606" s="18">
        <f t="shared" si="799"/>
        <v>2.0354231699327316</v>
      </c>
      <c r="I606" s="18">
        <f t="shared" si="799"/>
        <v>5498.55</v>
      </c>
      <c r="J606" s="18">
        <f t="shared" si="799"/>
        <v>1</v>
      </c>
      <c r="K606" s="18">
        <f t="shared" si="799"/>
        <v>283</v>
      </c>
      <c r="L606" s="18" t="e">
        <f t="shared" si="799"/>
        <v>#NUM!</v>
      </c>
      <c r="M606" s="18">
        <f t="shared" si="799"/>
        <v>1891.5</v>
      </c>
      <c r="N606" s="18">
        <f t="shared" si="799"/>
        <v>1483.5</v>
      </c>
      <c r="O606" s="18">
        <f t="shared" si="799"/>
        <v>0</v>
      </c>
      <c r="P606" s="18">
        <f t="shared" si="799"/>
        <v>0</v>
      </c>
      <c r="Q606" s="18">
        <f t="shared" si="799"/>
        <v>0</v>
      </c>
      <c r="R606" s="18" t="e">
        <f t="shared" si="799"/>
        <v>#NUM!</v>
      </c>
      <c r="S606" s="18">
        <f t="shared" si="799"/>
        <v>0</v>
      </c>
      <c r="T606" s="18">
        <f t="shared" si="799"/>
        <v>0</v>
      </c>
      <c r="U606" s="18">
        <f t="shared" si="799"/>
        <v>0</v>
      </c>
      <c r="V606" s="18">
        <f t="shared" si="799"/>
        <v>0</v>
      </c>
      <c r="W606" s="18">
        <f t="shared" si="799"/>
        <v>0</v>
      </c>
      <c r="X606" s="18">
        <f t="shared" si="799"/>
        <v>0</v>
      </c>
      <c r="Y606" s="18">
        <f t="shared" si="799"/>
        <v>0</v>
      </c>
      <c r="Z606" s="18">
        <f t="shared" si="799"/>
        <v>0</v>
      </c>
      <c r="AA606" s="18">
        <f t="shared" si="799"/>
        <v>0</v>
      </c>
      <c r="AB606" s="18">
        <f t="shared" si="799"/>
        <v>0</v>
      </c>
      <c r="AC606" s="18">
        <f t="shared" si="799"/>
        <v>0</v>
      </c>
      <c r="AD606" s="18">
        <f t="shared" si="799"/>
        <v>0</v>
      </c>
      <c r="AE606" s="18">
        <f t="shared" si="799"/>
        <v>0</v>
      </c>
      <c r="AF606" s="18">
        <f t="shared" si="799"/>
        <v>0</v>
      </c>
      <c r="AG606" s="18">
        <f t="shared" si="799"/>
        <v>0</v>
      </c>
      <c r="AH606" s="18">
        <f t="shared" si="799"/>
        <v>0</v>
      </c>
      <c r="AI606" s="18">
        <f t="shared" si="799"/>
        <v>0</v>
      </c>
      <c r="AJ606" s="18">
        <f t="shared" si="799"/>
        <v>0</v>
      </c>
      <c r="AK606" s="18">
        <f t="shared" si="799"/>
        <v>0</v>
      </c>
      <c r="AL606" s="18">
        <f t="shared" si="799"/>
        <v>0</v>
      </c>
      <c r="AM606" s="47">
        <f t="shared" si="799"/>
        <v>0</v>
      </c>
      <c r="AN606" s="18">
        <f t="shared" si="799"/>
        <v>0</v>
      </c>
      <c r="AO606" s="18">
        <f t="shared" si="799"/>
        <v>0</v>
      </c>
      <c r="AP606" s="18">
        <f t="shared" si="799"/>
        <v>0</v>
      </c>
      <c r="AQ606" s="18">
        <f t="shared" si="799"/>
        <v>0</v>
      </c>
      <c r="AR606" s="18">
        <f t="shared" si="799"/>
        <v>0</v>
      </c>
      <c r="AS606" s="18">
        <f t="shared" si="799"/>
        <v>0</v>
      </c>
      <c r="AT606" s="18">
        <f t="shared" si="799"/>
        <v>0</v>
      </c>
      <c r="AU606" s="18">
        <f t="shared" si="799"/>
        <v>0</v>
      </c>
      <c r="AV606" s="18">
        <f t="shared" si="799"/>
        <v>0</v>
      </c>
      <c r="AW606" s="18">
        <f t="shared" si="799"/>
        <v>0</v>
      </c>
      <c r="AX606" s="18">
        <f t="shared" si="799"/>
        <v>0</v>
      </c>
    </row>
    <row r="607" spans="1:50" ht="13.5" thickTop="1" x14ac:dyDescent="0.2">
      <c r="B607"/>
      <c r="C607" s="5"/>
      <c r="D607" s="5"/>
    </row>
    <row r="608" spans="1:50" ht="13.5" thickBot="1" x14ac:dyDescent="0.25">
      <c r="A608" s="25"/>
      <c r="B608" s="25"/>
      <c r="C608" s="27" t="s">
        <v>21</v>
      </c>
      <c r="D608" s="27"/>
    </row>
    <row r="609" spans="1:50" ht="13.5" thickTop="1" x14ac:dyDescent="0.2">
      <c r="A609" s="8">
        <v>10550</v>
      </c>
      <c r="B609" s="89" t="str">
        <f t="shared" ref="B609:B618" si="800">VLOOKUP($A609,$A$5:$K$132,2,FALSE)</f>
        <v>Bega Valley</v>
      </c>
      <c r="C609" s="9" t="str">
        <f t="shared" ref="C609:C618" si="801">VLOOKUP($A609,$A$5:$K$133,3,FALSE)</f>
        <v>CRJO</v>
      </c>
      <c r="D609" s="51" t="str">
        <f t="shared" ref="D609:D618" si="802">VLOOKUP($A609,$A$5:$K$133,4,FALSE)</f>
        <v>N</v>
      </c>
      <c r="E609" s="10" t="str">
        <f t="shared" ref="E609:E618" si="803">VLOOKUP($A609,$A$5:$AX$132,5,FALSE)</f>
        <v>CRJO</v>
      </c>
      <c r="F609" s="10">
        <f t="shared" ref="F609:F618" si="804">VLOOKUP($A609,$A$5:$AX$132,6,FALSE)</f>
        <v>34727</v>
      </c>
      <c r="G609" s="10">
        <f t="shared" ref="G609:G618" si="805">VLOOKUP($A609,$A$5:$AX$132,7,FALSE)</f>
        <v>17575</v>
      </c>
      <c r="H609" s="10">
        <f t="shared" ref="H609:H618" si="806">VLOOKUP($A609,$A$5:$AX$132,8,FALSE)</f>
        <v>1.975931721194879</v>
      </c>
      <c r="I609" s="10">
        <f t="shared" ref="I609:I618" si="807">VLOOKUP($A609,$A$5:$AX$132,9,FALSE)</f>
        <v>6278.9</v>
      </c>
      <c r="J609" s="10">
        <f t="shared" ref="J609:J618" si="808">VLOOKUP($A609,$A$5:$AX$132,10,FALSE)</f>
        <v>5.5</v>
      </c>
      <c r="K609" s="10">
        <f t="shared" ref="K609:K618" si="809">VLOOKUP($A609,$A$5:$AX$132,11,FALSE)</f>
        <v>613</v>
      </c>
      <c r="L609" s="10" t="str">
        <f t="shared" ref="L609:L618" si="810">VLOOKUP($A609,$A$4:$AX$132,12,FALSE)</f>
        <v>Y</v>
      </c>
      <c r="M609" s="10">
        <f t="shared" ref="M609:M618" si="811">VLOOKUP($A609,$A$4:$AX$132,13,FALSE)</f>
        <v>12146</v>
      </c>
      <c r="N609" s="10">
        <f t="shared" ref="N609:N618" si="812">VLOOKUP($A609,$A$4:$AX$132,14,FALSE)</f>
        <v>12941</v>
      </c>
      <c r="O609" s="10">
        <f t="shared" ref="O609:O618" si="813">VLOOKUP($A609,$A$4:$AX$132,15,FALSE)</f>
        <v>0</v>
      </c>
      <c r="P609" s="10">
        <f t="shared" ref="P609:P618" si="814">VLOOKUP($A609,$A$4:$AX$132,16,FALSE)</f>
        <v>9112</v>
      </c>
      <c r="Q609" s="10">
        <f t="shared" ref="Q609:Q618" si="815">VLOOKUP($A609,$A$4:$AX$132,17,FALSE)</f>
        <v>0</v>
      </c>
      <c r="R609" s="10" t="str">
        <f t="shared" ref="R609:R618" si="816">VLOOKUP($A609,$A$4:$AX$132,18,FALSE)</f>
        <v>Yes</v>
      </c>
      <c r="S609" s="10" t="str">
        <f t="shared" ref="S609:S618" si="817">VLOOKUP($A609,$A$4:$AX$132,19,FALSE)</f>
        <v>Bemboka Waste Depot</v>
      </c>
      <c r="T609" s="10" t="str">
        <f t="shared" ref="T609:T618" si="818">VLOOKUP($A609,$A$4:$AX$132,20,FALSE)</f>
        <v>Bermagui Waste &amp; Recycling Depot</v>
      </c>
      <c r="U609" s="10" t="str">
        <f t="shared" ref="U609:U618" si="819">VLOOKUP($A609,$A$4:$AX$132,21,FALSE)</f>
        <v>Candelo Waste Depot</v>
      </c>
      <c r="V609" s="10" t="str">
        <f t="shared" ref="V609:V618" si="820">VLOOKUP($A609,$A$4:$AX$132,22,FALSE)</f>
        <v>Eden Waste &amp; Recycling Depot</v>
      </c>
      <c r="W609" s="10" t="str">
        <f t="shared" ref="W609:W618" si="821">VLOOKUP($A609,$A$4:$AX$132,23,FALSE)</f>
        <v>Merimbula Waste &amp; Recycling Depot</v>
      </c>
      <c r="X609" s="10" t="str">
        <f t="shared" ref="X609:X618" si="822">VLOOKUP($A609,$A$4:$AX$132,24,FALSE)</f>
        <v>Wallagoot Waste Depot</v>
      </c>
      <c r="Y609" s="10">
        <f t="shared" ref="Y609:Y618" si="823">VLOOKUP($A609,$A$4:$AX$132,25,FALSE)</f>
        <v>0</v>
      </c>
      <c r="Z609" s="10">
        <f t="shared" ref="Z609:Z618" si="824">VLOOKUP($A609,$A$4:$AX$132,26,FALSE)</f>
        <v>0</v>
      </c>
      <c r="AA609" s="10">
        <f t="shared" ref="AA609:AA618" si="825">VLOOKUP($A609,$A$4:$AX$132,27,FALSE)</f>
        <v>0</v>
      </c>
      <c r="AB609" s="10">
        <f t="shared" ref="AB609:AB618" si="826">VLOOKUP($A609,$A$4:$AX$132,28,FALSE)</f>
        <v>0</v>
      </c>
      <c r="AC609" s="10">
        <f t="shared" ref="AC609:AC618" si="827">VLOOKUP($A609,$A$4:$AX$132,29,FALSE)</f>
        <v>0</v>
      </c>
      <c r="AD609" s="10">
        <f t="shared" ref="AD609:AD618" si="828">VLOOKUP($A609,$A$4:$AX$132,30,FALSE)</f>
        <v>0</v>
      </c>
      <c r="AE609" s="10">
        <f t="shared" ref="AE609:AE618" si="829">VLOOKUP($A609,$A$4:$AX$132,31,FALSE)</f>
        <v>0</v>
      </c>
      <c r="AF609" s="10">
        <f t="shared" ref="AF609:AF618" si="830">VLOOKUP($A609,$A$4:$AX$132,32,FALSE)</f>
        <v>0</v>
      </c>
      <c r="AG609" s="10">
        <f t="shared" ref="AG609:AG618" si="831">VLOOKUP($A609,$A$4:$AX$132,33,FALSE)</f>
        <v>0</v>
      </c>
      <c r="AH609" s="10">
        <f t="shared" ref="AH609:AH618" si="832">VLOOKUP($A609,$A$4:$AX$132,34,FALSE)</f>
        <v>0</v>
      </c>
      <c r="AI609" s="10">
        <f t="shared" ref="AI609:AI618" si="833">VLOOKUP($A609,$A$4:$AX$132,35,FALSE)</f>
        <v>0</v>
      </c>
      <c r="AJ609" s="10">
        <f t="shared" ref="AJ609:AJ618" si="834">VLOOKUP($A609,$A$4:$AX$132,36,FALSE)</f>
        <v>0</v>
      </c>
      <c r="AK609" s="10">
        <f t="shared" ref="AK609:AK618" si="835">VLOOKUP($A609,$A$4:$AX$132,37,FALSE)</f>
        <v>0</v>
      </c>
      <c r="AL609" s="10">
        <f t="shared" ref="AL609:AL618" si="836">VLOOKUP($A609,$A$4:$AX$132,38,FALSE)</f>
        <v>0</v>
      </c>
      <c r="AM609" s="10">
        <f t="shared" ref="AM609:AM618" si="837">VLOOKUP($A609,$A$4:$AX$132,39,FALSE)</f>
        <v>0</v>
      </c>
      <c r="AN609" s="46">
        <f t="shared" ref="AN609:AN618" si="838">VLOOKUP($A609,$A$4:$AX$132,40,FALSE)</f>
        <v>0</v>
      </c>
      <c r="AO609" s="10">
        <f t="shared" ref="AO609:AO618" si="839">VLOOKUP($A609,$A$4:$AX$132,41,FALSE)</f>
        <v>0</v>
      </c>
      <c r="AP609" s="10">
        <f t="shared" ref="AP609:AP618" si="840">VLOOKUP($A609,$A$4:$AX$132,42,FALSE)</f>
        <v>0</v>
      </c>
      <c r="AQ609" s="10">
        <f t="shared" ref="AQ609:AQ618" si="841">VLOOKUP($A609,$A$4:$AX$132,43,FALSE)</f>
        <v>0</v>
      </c>
      <c r="AR609" s="10">
        <f t="shared" ref="AR609:AR618" si="842">VLOOKUP($A609,$A$4:$AX$132,44,FALSE)</f>
        <v>0</v>
      </c>
      <c r="AS609" s="10">
        <f t="shared" ref="AS609:AS618" si="843">VLOOKUP($A609,$A$4:$AX$132,45,FALSE)</f>
        <v>0</v>
      </c>
      <c r="AT609" s="10">
        <f t="shared" ref="AT609:AT618" si="844">VLOOKUP($A609,$A$4:$AX$132,46,FALSE)</f>
        <v>0</v>
      </c>
      <c r="AU609" s="10">
        <f t="shared" ref="AU609:AU618" si="845">VLOOKUP($A609,$A$4:$AX$132,47,FALSE)</f>
        <v>0</v>
      </c>
      <c r="AV609" s="10">
        <f t="shared" ref="AV609:AV618" si="846">VLOOKUP($A609,$A$4:$AX$132,48,FALSE)</f>
        <v>0</v>
      </c>
      <c r="AW609" s="10">
        <f t="shared" ref="AW609:AW618" si="847">VLOOKUP($A609,$A$4:$AX$132,49,FALSE)</f>
        <v>0</v>
      </c>
      <c r="AX609" s="10">
        <f t="shared" ref="AX609:AX618" si="848">VLOOKUP($A609,$A$4:$AX$132,50,FALSE)</f>
        <v>0</v>
      </c>
    </row>
    <row r="610" spans="1:50" x14ac:dyDescent="0.2">
      <c r="A610" s="8">
        <v>12750</v>
      </c>
      <c r="B610" s="89" t="str">
        <f t="shared" si="800"/>
        <v>Eurobodalla</v>
      </c>
      <c r="C610" s="9" t="str">
        <f t="shared" si="801"/>
        <v>CRJO</v>
      </c>
      <c r="D610" s="51" t="str">
        <f t="shared" si="802"/>
        <v>N</v>
      </c>
      <c r="E610" s="10" t="str">
        <f t="shared" si="803"/>
        <v>CRJO</v>
      </c>
      <c r="F610" s="10">
        <f t="shared" si="804"/>
        <v>38952</v>
      </c>
      <c r="G610" s="10">
        <f t="shared" si="805"/>
        <v>24402</v>
      </c>
      <c r="H610" s="10">
        <f t="shared" si="806"/>
        <v>1.5962626014261125</v>
      </c>
      <c r="I610" s="10">
        <f t="shared" si="807"/>
        <v>3428.2</v>
      </c>
      <c r="J610" s="10">
        <f t="shared" si="808"/>
        <v>11.4</v>
      </c>
      <c r="K610" s="10">
        <f t="shared" si="809"/>
        <v>299.25</v>
      </c>
      <c r="L610" s="10" t="str">
        <f t="shared" si="810"/>
        <v>Y</v>
      </c>
      <c r="M610" s="10">
        <f t="shared" si="811"/>
        <v>24402</v>
      </c>
      <c r="N610" s="10">
        <f t="shared" si="812"/>
        <v>22891</v>
      </c>
      <c r="O610" s="10">
        <f t="shared" si="813"/>
        <v>21428</v>
      </c>
      <c r="P610" s="10">
        <f t="shared" si="814"/>
        <v>0</v>
      </c>
      <c r="Q610" s="10">
        <f t="shared" si="815"/>
        <v>24402</v>
      </c>
      <c r="R610" s="10" t="str">
        <f t="shared" si="816"/>
        <v>Yes</v>
      </c>
      <c r="S610" s="10" t="str">
        <f t="shared" si="817"/>
        <v>Surf Beach Waste Management Facility</v>
      </c>
      <c r="T610" s="10" t="str">
        <f t="shared" si="818"/>
        <v>Brou Waste Management Facility</v>
      </c>
      <c r="U610" s="10" t="str">
        <f t="shared" si="819"/>
        <v>Moruya transfer Station</v>
      </c>
      <c r="V610" s="10">
        <f t="shared" si="820"/>
        <v>0</v>
      </c>
      <c r="W610" s="10">
        <f t="shared" si="821"/>
        <v>0</v>
      </c>
      <c r="X610" s="10">
        <f t="shared" si="822"/>
        <v>0</v>
      </c>
      <c r="Y610" s="10">
        <f t="shared" si="823"/>
        <v>0</v>
      </c>
      <c r="Z610" s="10">
        <f t="shared" si="824"/>
        <v>0</v>
      </c>
      <c r="AA610" s="10">
        <f t="shared" si="825"/>
        <v>0</v>
      </c>
      <c r="AB610" s="10">
        <f t="shared" si="826"/>
        <v>0</v>
      </c>
      <c r="AC610" s="10">
        <f t="shared" si="827"/>
        <v>0</v>
      </c>
      <c r="AD610" s="10">
        <f t="shared" si="828"/>
        <v>0</v>
      </c>
      <c r="AE610" s="10">
        <f t="shared" si="829"/>
        <v>0</v>
      </c>
      <c r="AF610" s="10">
        <f t="shared" si="830"/>
        <v>0</v>
      </c>
      <c r="AG610" s="10">
        <f t="shared" si="831"/>
        <v>0</v>
      </c>
      <c r="AH610" s="10">
        <f t="shared" si="832"/>
        <v>0</v>
      </c>
      <c r="AI610" s="10">
        <f t="shared" si="833"/>
        <v>0</v>
      </c>
      <c r="AJ610" s="10">
        <f t="shared" si="834"/>
        <v>0</v>
      </c>
      <c r="AK610" s="10">
        <f t="shared" si="835"/>
        <v>0</v>
      </c>
      <c r="AL610" s="10">
        <f t="shared" si="836"/>
        <v>0</v>
      </c>
      <c r="AM610" s="10">
        <f t="shared" si="837"/>
        <v>0</v>
      </c>
      <c r="AN610" s="46">
        <f t="shared" si="838"/>
        <v>0</v>
      </c>
      <c r="AO610" s="10">
        <f t="shared" si="839"/>
        <v>0</v>
      </c>
      <c r="AP610" s="10">
        <f t="shared" si="840"/>
        <v>0</v>
      </c>
      <c r="AQ610" s="10">
        <f t="shared" si="841"/>
        <v>0</v>
      </c>
      <c r="AR610" s="10">
        <f t="shared" si="842"/>
        <v>0</v>
      </c>
      <c r="AS610" s="10">
        <f t="shared" si="843"/>
        <v>0</v>
      </c>
      <c r="AT610" s="10">
        <f t="shared" si="844"/>
        <v>0</v>
      </c>
      <c r="AU610" s="10">
        <f t="shared" si="845"/>
        <v>0</v>
      </c>
      <c r="AV610" s="10">
        <f t="shared" si="846"/>
        <v>0</v>
      </c>
      <c r="AW610" s="10">
        <f t="shared" si="847"/>
        <v>0</v>
      </c>
      <c r="AX610" s="10">
        <f t="shared" si="848"/>
        <v>0</v>
      </c>
    </row>
    <row r="611" spans="1:50" x14ac:dyDescent="0.2">
      <c r="A611" s="8">
        <v>13310</v>
      </c>
      <c r="B611" s="89" t="str">
        <f t="shared" si="800"/>
        <v>Goulburn Mulwaree</v>
      </c>
      <c r="C611" s="9" t="str">
        <f t="shared" si="801"/>
        <v>CRJO</v>
      </c>
      <c r="D611" s="51" t="str">
        <f t="shared" si="802"/>
        <v>N</v>
      </c>
      <c r="E611" s="10" t="str">
        <f t="shared" si="803"/>
        <v>CRJO</v>
      </c>
      <c r="F611" s="10">
        <f t="shared" si="804"/>
        <v>31554</v>
      </c>
      <c r="G611" s="10">
        <f t="shared" si="805"/>
        <v>16761</v>
      </c>
      <c r="H611" s="10">
        <f t="shared" si="806"/>
        <v>1.8825845713262932</v>
      </c>
      <c r="I611" s="10">
        <f t="shared" si="807"/>
        <v>3220.1</v>
      </c>
      <c r="J611" s="10">
        <f t="shared" si="808"/>
        <v>9.8000000000000007</v>
      </c>
      <c r="K611" s="10">
        <f t="shared" si="809"/>
        <v>381</v>
      </c>
      <c r="L611" s="10" t="str">
        <f t="shared" si="810"/>
        <v>Y</v>
      </c>
      <c r="M611" s="10">
        <f t="shared" si="811"/>
        <v>10400</v>
      </c>
      <c r="N611" s="10">
        <f t="shared" si="812"/>
        <v>10390</v>
      </c>
      <c r="O611" s="10">
        <f t="shared" si="813"/>
        <v>0</v>
      </c>
      <c r="P611" s="10">
        <f t="shared" si="814"/>
        <v>10390</v>
      </c>
      <c r="Q611" s="10">
        <f t="shared" si="815"/>
        <v>16761</v>
      </c>
      <c r="R611" s="10" t="str">
        <f t="shared" si="816"/>
        <v>Yes</v>
      </c>
      <c r="S611" s="10" t="str">
        <f t="shared" si="817"/>
        <v>Goulburn Waste Management Centre, 100 Sinclair St Goulburn</v>
      </c>
      <c r="T611" s="10" t="str">
        <f t="shared" si="818"/>
        <v>Marulan Waste Management Centre, Wilson Dr Marulan</v>
      </c>
      <c r="U611" s="10" t="str">
        <f t="shared" si="819"/>
        <v>Tarago Waste Management Centre, Lumley Rd Tarago</v>
      </c>
      <c r="V611" s="10">
        <f t="shared" si="820"/>
        <v>0</v>
      </c>
      <c r="W611" s="10">
        <f t="shared" si="821"/>
        <v>0</v>
      </c>
      <c r="X611" s="10">
        <f t="shared" si="822"/>
        <v>0</v>
      </c>
      <c r="Y611" s="10">
        <f t="shared" si="823"/>
        <v>0</v>
      </c>
      <c r="Z611" s="10">
        <f t="shared" si="824"/>
        <v>0</v>
      </c>
      <c r="AA611" s="10">
        <f t="shared" si="825"/>
        <v>0</v>
      </c>
      <c r="AB611" s="10">
        <f t="shared" si="826"/>
        <v>0</v>
      </c>
      <c r="AC611" s="10">
        <f t="shared" si="827"/>
        <v>0</v>
      </c>
      <c r="AD611" s="10">
        <f t="shared" si="828"/>
        <v>0</v>
      </c>
      <c r="AE611" s="10">
        <f t="shared" si="829"/>
        <v>0</v>
      </c>
      <c r="AF611" s="10">
        <f t="shared" si="830"/>
        <v>0</v>
      </c>
      <c r="AG611" s="10">
        <f t="shared" si="831"/>
        <v>0</v>
      </c>
      <c r="AH611" s="10">
        <f t="shared" si="832"/>
        <v>0</v>
      </c>
      <c r="AI611" s="10">
        <f t="shared" si="833"/>
        <v>0</v>
      </c>
      <c r="AJ611" s="10">
        <f t="shared" si="834"/>
        <v>0</v>
      </c>
      <c r="AK611" s="10">
        <f t="shared" si="835"/>
        <v>0</v>
      </c>
      <c r="AL611" s="10">
        <f t="shared" si="836"/>
        <v>0</v>
      </c>
      <c r="AM611" s="10">
        <f t="shared" si="837"/>
        <v>0</v>
      </c>
      <c r="AN611" s="46">
        <f t="shared" si="838"/>
        <v>0</v>
      </c>
      <c r="AO611" s="10">
        <f t="shared" si="839"/>
        <v>0</v>
      </c>
      <c r="AP611" s="10">
        <f t="shared" si="840"/>
        <v>0</v>
      </c>
      <c r="AQ611" s="10">
        <f t="shared" si="841"/>
        <v>0</v>
      </c>
      <c r="AR611" s="10">
        <f t="shared" si="842"/>
        <v>0</v>
      </c>
      <c r="AS611" s="10">
        <f t="shared" si="843"/>
        <v>0</v>
      </c>
      <c r="AT611" s="10">
        <f t="shared" si="844"/>
        <v>0</v>
      </c>
      <c r="AU611" s="10">
        <f t="shared" si="845"/>
        <v>0</v>
      </c>
      <c r="AV611" s="10">
        <f t="shared" si="846"/>
        <v>0</v>
      </c>
      <c r="AW611" s="10">
        <f t="shared" si="847"/>
        <v>0</v>
      </c>
      <c r="AX611" s="10">
        <f t="shared" si="848"/>
        <v>0</v>
      </c>
    </row>
    <row r="612" spans="1:50" x14ac:dyDescent="0.2">
      <c r="A612" s="8">
        <v>13910</v>
      </c>
      <c r="B612" s="89" t="str">
        <f t="shared" si="800"/>
        <v>Hilltops</v>
      </c>
      <c r="C612" s="9" t="str">
        <f t="shared" si="801"/>
        <v>CRJO</v>
      </c>
      <c r="D612" s="51" t="str">
        <f t="shared" si="802"/>
        <v>N</v>
      </c>
      <c r="E612" s="10" t="str">
        <f t="shared" si="803"/>
        <v>CRJO</v>
      </c>
      <c r="F612" s="10">
        <f t="shared" si="804"/>
        <v>18617</v>
      </c>
      <c r="G612" s="10">
        <f t="shared" si="805"/>
        <v>11454</v>
      </c>
      <c r="H612" s="10">
        <f t="shared" si="806"/>
        <v>1.6253710494150515</v>
      </c>
      <c r="I612" s="10">
        <f t="shared" si="807"/>
        <v>7140.9</v>
      </c>
      <c r="J612" s="10">
        <f t="shared" si="808"/>
        <v>2.6</v>
      </c>
      <c r="K612" s="10">
        <f t="shared" si="809"/>
        <v>485.58</v>
      </c>
      <c r="L612" s="10" t="str">
        <f t="shared" si="810"/>
        <v>Y</v>
      </c>
      <c r="M612" s="10">
        <f t="shared" si="811"/>
        <v>10054</v>
      </c>
      <c r="N612" s="10">
        <f t="shared" si="812"/>
        <v>5054</v>
      </c>
      <c r="O612" s="10">
        <f t="shared" si="813"/>
        <v>4386</v>
      </c>
      <c r="P612" s="10">
        <f t="shared" si="814"/>
        <v>0</v>
      </c>
      <c r="Q612" s="10">
        <f t="shared" si="815"/>
        <v>0</v>
      </c>
      <c r="R612" s="10" t="str">
        <f t="shared" si="816"/>
        <v>Yes</v>
      </c>
      <c r="S612" s="10" t="str">
        <f t="shared" si="817"/>
        <v>Victoria Street</v>
      </c>
      <c r="T612" s="10" t="str">
        <f t="shared" si="818"/>
        <v>Red Hill</v>
      </c>
      <c r="U612" s="10" t="str">
        <f t="shared" si="819"/>
        <v>Boorowa</v>
      </c>
      <c r="V612" s="10" t="str">
        <f t="shared" si="820"/>
        <v>Murrumburrah</v>
      </c>
      <c r="W612" s="10" t="str">
        <f t="shared" si="821"/>
        <v>Transfer Stations VIllage</v>
      </c>
      <c r="X612" s="10" t="str">
        <f t="shared" si="822"/>
        <v>Village Landfills</v>
      </c>
      <c r="Y612" s="10">
        <f t="shared" si="823"/>
        <v>0</v>
      </c>
      <c r="Z612" s="10">
        <f t="shared" si="824"/>
        <v>0</v>
      </c>
      <c r="AA612" s="10">
        <f t="shared" si="825"/>
        <v>0</v>
      </c>
      <c r="AB612" s="10">
        <f t="shared" si="826"/>
        <v>0</v>
      </c>
      <c r="AC612" s="10">
        <f t="shared" si="827"/>
        <v>0</v>
      </c>
      <c r="AD612" s="10">
        <f t="shared" si="828"/>
        <v>0</v>
      </c>
      <c r="AE612" s="10">
        <f t="shared" si="829"/>
        <v>0</v>
      </c>
      <c r="AF612" s="10">
        <f t="shared" si="830"/>
        <v>0</v>
      </c>
      <c r="AG612" s="10">
        <f t="shared" si="831"/>
        <v>0</v>
      </c>
      <c r="AH612" s="10">
        <f t="shared" si="832"/>
        <v>0</v>
      </c>
      <c r="AI612" s="10">
        <f t="shared" si="833"/>
        <v>0</v>
      </c>
      <c r="AJ612" s="10">
        <f t="shared" si="834"/>
        <v>0</v>
      </c>
      <c r="AK612" s="10">
        <f t="shared" si="835"/>
        <v>0</v>
      </c>
      <c r="AL612" s="10">
        <f t="shared" si="836"/>
        <v>0</v>
      </c>
      <c r="AM612" s="10">
        <f t="shared" si="837"/>
        <v>0</v>
      </c>
      <c r="AN612" s="46">
        <f t="shared" si="838"/>
        <v>0</v>
      </c>
      <c r="AO612" s="10">
        <f t="shared" si="839"/>
        <v>0</v>
      </c>
      <c r="AP612" s="10">
        <f t="shared" si="840"/>
        <v>0</v>
      </c>
      <c r="AQ612" s="10">
        <f t="shared" si="841"/>
        <v>0</v>
      </c>
      <c r="AR612" s="10">
        <f t="shared" si="842"/>
        <v>0</v>
      </c>
      <c r="AS612" s="10">
        <f t="shared" si="843"/>
        <v>0</v>
      </c>
      <c r="AT612" s="10">
        <f t="shared" si="844"/>
        <v>0</v>
      </c>
      <c r="AU612" s="10">
        <f t="shared" si="845"/>
        <v>0</v>
      </c>
      <c r="AV612" s="10">
        <f t="shared" si="846"/>
        <v>0</v>
      </c>
      <c r="AW612" s="10">
        <f t="shared" si="847"/>
        <v>0</v>
      </c>
      <c r="AX612" s="10">
        <f t="shared" si="848"/>
        <v>0</v>
      </c>
    </row>
    <row r="613" spans="1:50" x14ac:dyDescent="0.2">
      <c r="A613" s="8">
        <v>16490</v>
      </c>
      <c r="B613" s="89" t="str">
        <f t="shared" si="800"/>
        <v>Queanbeyan-Palerang Regional</v>
      </c>
      <c r="C613" s="9" t="str">
        <f t="shared" si="801"/>
        <v>CRJO</v>
      </c>
      <c r="D613" s="51" t="str">
        <f t="shared" si="802"/>
        <v>N</v>
      </c>
      <c r="E613" s="10" t="str">
        <f t="shared" si="803"/>
        <v>CRJO</v>
      </c>
      <c r="F613" s="10">
        <f t="shared" si="804"/>
        <v>62239</v>
      </c>
      <c r="G613" s="10">
        <f t="shared" si="805"/>
        <v>22370</v>
      </c>
      <c r="H613" s="10">
        <f t="shared" si="806"/>
        <v>2.7822530174340634</v>
      </c>
      <c r="I613" s="10">
        <f t="shared" si="807"/>
        <v>5318.9</v>
      </c>
      <c r="J613" s="10">
        <f t="shared" si="808"/>
        <v>11.7</v>
      </c>
      <c r="K613" s="10">
        <f t="shared" si="809"/>
        <v>337</v>
      </c>
      <c r="L613" s="10" t="str">
        <f t="shared" si="810"/>
        <v>Y</v>
      </c>
      <c r="M613" s="10">
        <f t="shared" si="811"/>
        <v>20751</v>
      </c>
      <c r="N613" s="10">
        <f t="shared" si="812"/>
        <v>21266</v>
      </c>
      <c r="O613" s="10">
        <f t="shared" si="813"/>
        <v>14342</v>
      </c>
      <c r="P613" s="10">
        <f t="shared" si="814"/>
        <v>2290</v>
      </c>
      <c r="Q613" s="10">
        <f t="shared" si="815"/>
        <v>22370</v>
      </c>
      <c r="R613" s="10" t="str">
        <f t="shared" si="816"/>
        <v>Yes</v>
      </c>
      <c r="S613" s="10" t="str">
        <f t="shared" si="817"/>
        <v>Bungendore Waste Transfer Station - Tarago Road Bungendore</v>
      </c>
      <c r="T613" s="10" t="str">
        <f t="shared" si="818"/>
        <v>Braidwood Waste Transfer Station - Bombay Road Braidwood</v>
      </c>
      <c r="U613" s="10" t="str">
        <f t="shared" si="819"/>
        <v>Bywong Transfer Station - Macs Reef Road</v>
      </c>
      <c r="V613" s="10" t="str">
        <f t="shared" si="820"/>
        <v>Captains Flat - Captains Flat Rd</v>
      </c>
      <c r="W613" s="10" t="str">
        <f t="shared" si="821"/>
        <v>Nerriga - Endrick River Road</v>
      </c>
      <c r="X613" s="10" t="str">
        <f t="shared" si="822"/>
        <v>Waste Minimisation Centre - Lorn Road Queanbeyan</v>
      </c>
      <c r="Y613" s="10">
        <f t="shared" si="823"/>
        <v>0</v>
      </c>
      <c r="Z613" s="10">
        <f t="shared" si="824"/>
        <v>0</v>
      </c>
      <c r="AA613" s="10">
        <f t="shared" si="825"/>
        <v>0</v>
      </c>
      <c r="AB613" s="10">
        <f t="shared" si="826"/>
        <v>0</v>
      </c>
      <c r="AC613" s="10">
        <f t="shared" si="827"/>
        <v>0</v>
      </c>
      <c r="AD613" s="10">
        <f t="shared" si="828"/>
        <v>0</v>
      </c>
      <c r="AE613" s="10">
        <f t="shared" si="829"/>
        <v>0</v>
      </c>
      <c r="AF613" s="10">
        <f t="shared" si="830"/>
        <v>0</v>
      </c>
      <c r="AG613" s="10">
        <f t="shared" si="831"/>
        <v>0</v>
      </c>
      <c r="AH613" s="10">
        <f t="shared" si="832"/>
        <v>0</v>
      </c>
      <c r="AI613" s="10">
        <f t="shared" si="833"/>
        <v>0</v>
      </c>
      <c r="AJ613" s="10">
        <f t="shared" si="834"/>
        <v>0</v>
      </c>
      <c r="AK613" s="10">
        <f t="shared" si="835"/>
        <v>0</v>
      </c>
      <c r="AL613" s="10">
        <f t="shared" si="836"/>
        <v>0</v>
      </c>
      <c r="AM613" s="10">
        <f t="shared" si="837"/>
        <v>0</v>
      </c>
      <c r="AN613" s="46">
        <f t="shared" si="838"/>
        <v>0</v>
      </c>
      <c r="AO613" s="10">
        <f t="shared" si="839"/>
        <v>0</v>
      </c>
      <c r="AP613" s="10">
        <f t="shared" si="840"/>
        <v>0</v>
      </c>
      <c r="AQ613" s="10">
        <f t="shared" si="841"/>
        <v>0</v>
      </c>
      <c r="AR613" s="10">
        <f t="shared" si="842"/>
        <v>0</v>
      </c>
      <c r="AS613" s="10">
        <f t="shared" si="843"/>
        <v>0</v>
      </c>
      <c r="AT613" s="10">
        <f t="shared" si="844"/>
        <v>0</v>
      </c>
      <c r="AU613" s="10">
        <f t="shared" si="845"/>
        <v>0</v>
      </c>
      <c r="AV613" s="10">
        <f t="shared" si="846"/>
        <v>0</v>
      </c>
      <c r="AW613" s="10">
        <f t="shared" si="847"/>
        <v>0</v>
      </c>
      <c r="AX613" s="10">
        <f t="shared" si="848"/>
        <v>0</v>
      </c>
    </row>
    <row r="614" spans="1:50" x14ac:dyDescent="0.2">
      <c r="A614" s="8">
        <v>17040</v>
      </c>
      <c r="B614" s="89" t="str">
        <f t="shared" si="800"/>
        <v>Snowy Monaro Regional</v>
      </c>
      <c r="C614" s="9" t="str">
        <f t="shared" si="801"/>
        <v>CRJO</v>
      </c>
      <c r="D614" s="51" t="str">
        <f t="shared" si="802"/>
        <v>N</v>
      </c>
      <c r="E614" s="10" t="str">
        <f t="shared" si="803"/>
        <v>CRJO</v>
      </c>
      <c r="F614" s="10">
        <f t="shared" si="804"/>
        <v>20997</v>
      </c>
      <c r="G614" s="10">
        <f t="shared" si="805"/>
        <v>10506</v>
      </c>
      <c r="H614" s="10">
        <f t="shared" si="806"/>
        <v>1.9985722444317533</v>
      </c>
      <c r="I614" s="10">
        <f t="shared" si="807"/>
        <v>15163.5</v>
      </c>
      <c r="J614" s="10">
        <f t="shared" si="808"/>
        <v>1.4</v>
      </c>
      <c r="K614" s="10">
        <f t="shared" si="809"/>
        <v>509</v>
      </c>
      <c r="L614" s="10" t="str">
        <f t="shared" si="810"/>
        <v>Y</v>
      </c>
      <c r="M614" s="10">
        <f t="shared" si="811"/>
        <v>7824</v>
      </c>
      <c r="N614" s="10">
        <f t="shared" si="812"/>
        <v>7477</v>
      </c>
      <c r="O614" s="10">
        <f t="shared" si="813"/>
        <v>0</v>
      </c>
      <c r="P614" s="10">
        <f t="shared" si="814"/>
        <v>2765</v>
      </c>
      <c r="Q614" s="10">
        <f t="shared" si="815"/>
        <v>0</v>
      </c>
      <c r="R614" s="10" t="str">
        <f t="shared" si="816"/>
        <v>Yes</v>
      </c>
      <c r="S614" s="10" t="str">
        <f t="shared" si="817"/>
        <v>Adaminaby Transfer Station</v>
      </c>
      <c r="T614" s="10" t="str">
        <f t="shared" si="818"/>
        <v>Berridale Transfer Station</v>
      </c>
      <c r="U614" s="10" t="str">
        <f t="shared" si="819"/>
        <v>Bredbo Transfer Station</v>
      </c>
      <c r="V614" s="10" t="str">
        <f t="shared" si="820"/>
        <v>Cooma Landfill</v>
      </c>
      <c r="W614" s="10" t="str">
        <f t="shared" si="821"/>
        <v>Bombala Landfill</v>
      </c>
      <c r="X614" s="10" t="str">
        <f t="shared" si="822"/>
        <v>Jindabyne Landfill</v>
      </c>
      <c r="Y614" s="10" t="str">
        <f t="shared" si="823"/>
        <v>Nimmitabel Transfer Station</v>
      </c>
      <c r="Z614" s="10">
        <f t="shared" si="824"/>
        <v>0</v>
      </c>
      <c r="AA614" s="10">
        <f t="shared" si="825"/>
        <v>0</v>
      </c>
      <c r="AB614" s="10">
        <f t="shared" si="826"/>
        <v>0</v>
      </c>
      <c r="AC614" s="10">
        <f t="shared" si="827"/>
        <v>0</v>
      </c>
      <c r="AD614" s="10">
        <f t="shared" si="828"/>
        <v>0</v>
      </c>
      <c r="AE614" s="10">
        <f t="shared" si="829"/>
        <v>0</v>
      </c>
      <c r="AF614" s="10">
        <f t="shared" si="830"/>
        <v>0</v>
      </c>
      <c r="AG614" s="10">
        <f t="shared" si="831"/>
        <v>0</v>
      </c>
      <c r="AH614" s="10">
        <f t="shared" si="832"/>
        <v>0</v>
      </c>
      <c r="AI614" s="10">
        <f t="shared" si="833"/>
        <v>0</v>
      </c>
      <c r="AJ614" s="10">
        <f t="shared" si="834"/>
        <v>0</v>
      </c>
      <c r="AK614" s="10">
        <f t="shared" si="835"/>
        <v>0</v>
      </c>
      <c r="AL614" s="10">
        <f t="shared" si="836"/>
        <v>0</v>
      </c>
      <c r="AM614" s="10">
        <f t="shared" si="837"/>
        <v>0</v>
      </c>
      <c r="AN614" s="46">
        <f t="shared" si="838"/>
        <v>0</v>
      </c>
      <c r="AO614" s="10">
        <f t="shared" si="839"/>
        <v>0</v>
      </c>
      <c r="AP614" s="10">
        <f t="shared" si="840"/>
        <v>0</v>
      </c>
      <c r="AQ614" s="10">
        <f t="shared" si="841"/>
        <v>0</v>
      </c>
      <c r="AR614" s="10">
        <f t="shared" si="842"/>
        <v>0</v>
      </c>
      <c r="AS614" s="10">
        <f t="shared" si="843"/>
        <v>0</v>
      </c>
      <c r="AT614" s="10">
        <f t="shared" si="844"/>
        <v>0</v>
      </c>
      <c r="AU614" s="10">
        <f t="shared" si="845"/>
        <v>0</v>
      </c>
      <c r="AV614" s="10">
        <f t="shared" si="846"/>
        <v>0</v>
      </c>
      <c r="AW614" s="10">
        <f t="shared" si="847"/>
        <v>0</v>
      </c>
      <c r="AX614" s="10">
        <f t="shared" si="848"/>
        <v>0</v>
      </c>
    </row>
    <row r="615" spans="1:50" x14ac:dyDescent="0.2">
      <c r="A615" s="8">
        <v>17080</v>
      </c>
      <c r="B615" s="89" t="str">
        <f t="shared" si="800"/>
        <v>Snowy Valleys</v>
      </c>
      <c r="C615" s="9" t="str">
        <f t="shared" si="801"/>
        <v>CRJO</v>
      </c>
      <c r="D615" s="51" t="str">
        <f t="shared" si="802"/>
        <v>N</v>
      </c>
      <c r="E615" s="10" t="str">
        <f t="shared" si="803"/>
        <v>CRJO</v>
      </c>
      <c r="F615" s="10">
        <f t="shared" si="804"/>
        <v>14412</v>
      </c>
      <c r="G615" s="10">
        <f t="shared" si="805"/>
        <v>6530</v>
      </c>
      <c r="H615" s="10">
        <f t="shared" si="806"/>
        <v>2.2070444104134763</v>
      </c>
      <c r="I615" s="10">
        <f t="shared" si="807"/>
        <v>8959</v>
      </c>
      <c r="J615" s="10">
        <f t="shared" si="808"/>
        <v>1.6</v>
      </c>
      <c r="K615" s="10">
        <f t="shared" si="809"/>
        <v>475</v>
      </c>
      <c r="L615" s="10" t="str">
        <f t="shared" si="810"/>
        <v>Y</v>
      </c>
      <c r="M615" s="10">
        <f t="shared" si="811"/>
        <v>5950</v>
      </c>
      <c r="N615" s="10">
        <f t="shared" si="812"/>
        <v>5720</v>
      </c>
      <c r="O615" s="10">
        <f t="shared" si="813"/>
        <v>0</v>
      </c>
      <c r="P615" s="10">
        <f t="shared" si="814"/>
        <v>0</v>
      </c>
      <c r="Q615" s="10">
        <f t="shared" si="815"/>
        <v>0</v>
      </c>
      <c r="R615" s="10" t="str">
        <f t="shared" si="816"/>
        <v>Yes</v>
      </c>
      <c r="S615" s="10" t="str">
        <f t="shared" si="817"/>
        <v>Adelong</v>
      </c>
      <c r="T615" s="10" t="str">
        <f t="shared" si="818"/>
        <v>Batlow</v>
      </c>
      <c r="U615" s="10" t="str">
        <f t="shared" si="819"/>
        <v>Khancoban</v>
      </c>
      <c r="V615" s="10" t="str">
        <f t="shared" si="820"/>
        <v>Talbingo</v>
      </c>
      <c r="W615" s="10" t="str">
        <f t="shared" si="821"/>
        <v>Tumbarumba</v>
      </c>
      <c r="X615" s="10" t="str">
        <f t="shared" si="822"/>
        <v>Tumut</v>
      </c>
      <c r="Y615" s="10">
        <f t="shared" si="823"/>
        <v>0</v>
      </c>
      <c r="Z615" s="10">
        <f t="shared" si="824"/>
        <v>0</v>
      </c>
      <c r="AA615" s="10">
        <f t="shared" si="825"/>
        <v>0</v>
      </c>
      <c r="AB615" s="10">
        <f t="shared" si="826"/>
        <v>0</v>
      </c>
      <c r="AC615" s="10">
        <f t="shared" si="827"/>
        <v>0</v>
      </c>
      <c r="AD615" s="10">
        <f t="shared" si="828"/>
        <v>0</v>
      </c>
      <c r="AE615" s="10">
        <f t="shared" si="829"/>
        <v>0</v>
      </c>
      <c r="AF615" s="10">
        <f t="shared" si="830"/>
        <v>0</v>
      </c>
      <c r="AG615" s="10">
        <f t="shared" si="831"/>
        <v>0</v>
      </c>
      <c r="AH615" s="10">
        <f t="shared" si="832"/>
        <v>0</v>
      </c>
      <c r="AI615" s="10">
        <f t="shared" si="833"/>
        <v>0</v>
      </c>
      <c r="AJ615" s="10">
        <f t="shared" si="834"/>
        <v>0</v>
      </c>
      <c r="AK615" s="10">
        <f t="shared" si="835"/>
        <v>0</v>
      </c>
      <c r="AL615" s="10">
        <f t="shared" si="836"/>
        <v>0</v>
      </c>
      <c r="AM615" s="10">
        <f t="shared" si="837"/>
        <v>0</v>
      </c>
      <c r="AN615" s="46">
        <f t="shared" si="838"/>
        <v>0</v>
      </c>
      <c r="AO615" s="10">
        <f t="shared" si="839"/>
        <v>0</v>
      </c>
      <c r="AP615" s="10">
        <f t="shared" si="840"/>
        <v>0</v>
      </c>
      <c r="AQ615" s="10">
        <f t="shared" si="841"/>
        <v>0</v>
      </c>
      <c r="AR615" s="10">
        <f t="shared" si="842"/>
        <v>0</v>
      </c>
      <c r="AS615" s="10">
        <f t="shared" si="843"/>
        <v>0</v>
      </c>
      <c r="AT615" s="10">
        <f t="shared" si="844"/>
        <v>0</v>
      </c>
      <c r="AU615" s="10">
        <f t="shared" si="845"/>
        <v>0</v>
      </c>
      <c r="AV615" s="10">
        <f t="shared" si="846"/>
        <v>0</v>
      </c>
      <c r="AW615" s="10">
        <f t="shared" si="847"/>
        <v>0</v>
      </c>
      <c r="AX615" s="10">
        <f t="shared" si="848"/>
        <v>0</v>
      </c>
    </row>
    <row r="616" spans="1:50" x14ac:dyDescent="0.2">
      <c r="A616" s="8">
        <v>17640</v>
      </c>
      <c r="B616" s="89" t="str">
        <f t="shared" si="800"/>
        <v>Upper Lachlan Shire</v>
      </c>
      <c r="C616" s="9" t="str">
        <f t="shared" si="801"/>
        <v>CRJO</v>
      </c>
      <c r="D616" s="51" t="str">
        <f t="shared" si="802"/>
        <v>N</v>
      </c>
      <c r="E616" s="10" t="str">
        <f t="shared" si="803"/>
        <v>CRJO</v>
      </c>
      <c r="F616" s="10">
        <f t="shared" si="804"/>
        <v>8274</v>
      </c>
      <c r="G616" s="10">
        <f t="shared" si="805"/>
        <v>6397</v>
      </c>
      <c r="H616" s="10">
        <f t="shared" si="806"/>
        <v>1.2934187900578396</v>
      </c>
      <c r="I616" s="10">
        <f t="shared" si="807"/>
        <v>7127.4</v>
      </c>
      <c r="J616" s="10">
        <f t="shared" si="808"/>
        <v>1.2</v>
      </c>
      <c r="K616" s="10">
        <f t="shared" si="809"/>
        <v>485</v>
      </c>
      <c r="L616" s="10" t="str">
        <f t="shared" si="810"/>
        <v>Y</v>
      </c>
      <c r="M616" s="10">
        <f t="shared" si="811"/>
        <v>2193</v>
      </c>
      <c r="N616" s="10">
        <f t="shared" si="812"/>
        <v>2193</v>
      </c>
      <c r="O616" s="10">
        <f t="shared" si="813"/>
        <v>2193</v>
      </c>
      <c r="P616" s="10">
        <f t="shared" si="814"/>
        <v>0</v>
      </c>
      <c r="Q616" s="10">
        <f t="shared" si="815"/>
        <v>0</v>
      </c>
      <c r="R616" s="10" t="str">
        <f t="shared" si="816"/>
        <v>Yes</v>
      </c>
      <c r="S616" s="10" t="str">
        <f t="shared" si="817"/>
        <v>Crookwell Waste Facility</v>
      </c>
      <c r="T616" s="10" t="str">
        <f t="shared" si="818"/>
        <v>Gunning Waste Facility</v>
      </c>
      <c r="U616" s="10" t="str">
        <f t="shared" si="819"/>
        <v>Taralga Waste Facility</v>
      </c>
      <c r="V616" s="10" t="str">
        <f t="shared" si="820"/>
        <v>Collector Waste Facility</v>
      </c>
      <c r="W616" s="10" t="str">
        <f t="shared" si="821"/>
        <v>Bigga Waste Facility</v>
      </c>
      <c r="X616" s="10" t="str">
        <f t="shared" si="822"/>
        <v>Tuena Waste Facility</v>
      </c>
      <c r="Y616" s="10">
        <f t="shared" si="823"/>
        <v>0</v>
      </c>
      <c r="Z616" s="10">
        <f t="shared" si="824"/>
        <v>0</v>
      </c>
      <c r="AA616" s="10">
        <f t="shared" si="825"/>
        <v>0</v>
      </c>
      <c r="AB616" s="10">
        <f t="shared" si="826"/>
        <v>0</v>
      </c>
      <c r="AC616" s="10">
        <f t="shared" si="827"/>
        <v>0</v>
      </c>
      <c r="AD616" s="10">
        <f t="shared" si="828"/>
        <v>0</v>
      </c>
      <c r="AE616" s="10">
        <f t="shared" si="829"/>
        <v>0</v>
      </c>
      <c r="AF616" s="10">
        <f t="shared" si="830"/>
        <v>0</v>
      </c>
      <c r="AG616" s="10">
        <f t="shared" si="831"/>
        <v>0</v>
      </c>
      <c r="AH616" s="10">
        <f t="shared" si="832"/>
        <v>0</v>
      </c>
      <c r="AI616" s="10">
        <f t="shared" si="833"/>
        <v>0</v>
      </c>
      <c r="AJ616" s="10">
        <f t="shared" si="834"/>
        <v>0</v>
      </c>
      <c r="AK616" s="10">
        <f t="shared" si="835"/>
        <v>0</v>
      </c>
      <c r="AL616" s="10">
        <f t="shared" si="836"/>
        <v>0</v>
      </c>
      <c r="AM616" s="10">
        <f t="shared" si="837"/>
        <v>0</v>
      </c>
      <c r="AN616" s="46">
        <f t="shared" si="838"/>
        <v>0</v>
      </c>
      <c r="AO616" s="10">
        <f t="shared" si="839"/>
        <v>0</v>
      </c>
      <c r="AP616" s="10">
        <f t="shared" si="840"/>
        <v>0</v>
      </c>
      <c r="AQ616" s="10">
        <f t="shared" si="841"/>
        <v>0</v>
      </c>
      <c r="AR616" s="10">
        <f t="shared" si="842"/>
        <v>0</v>
      </c>
      <c r="AS616" s="10">
        <f t="shared" si="843"/>
        <v>0</v>
      </c>
      <c r="AT616" s="10">
        <f t="shared" si="844"/>
        <v>0</v>
      </c>
      <c r="AU616" s="10">
        <f t="shared" si="845"/>
        <v>0</v>
      </c>
      <c r="AV616" s="10">
        <f t="shared" si="846"/>
        <v>0</v>
      </c>
      <c r="AW616" s="10">
        <f t="shared" si="847"/>
        <v>0</v>
      </c>
      <c r="AX616" s="10">
        <f t="shared" si="848"/>
        <v>0</v>
      </c>
    </row>
    <row r="617" spans="1:50" x14ac:dyDescent="0.2">
      <c r="A617" s="8">
        <v>18350</v>
      </c>
      <c r="B617" s="89" t="str">
        <f t="shared" si="800"/>
        <v>Wingecarribee</v>
      </c>
      <c r="C617" s="9" t="str">
        <f t="shared" si="801"/>
        <v>CRJO</v>
      </c>
      <c r="D617" s="51" t="str">
        <f t="shared" si="802"/>
        <v>E</v>
      </c>
      <c r="E617" s="10" t="str">
        <f t="shared" si="803"/>
        <v>CRJO</v>
      </c>
      <c r="F617" s="10">
        <f t="shared" si="804"/>
        <v>51760</v>
      </c>
      <c r="G617" s="10">
        <f t="shared" si="805"/>
        <v>20791</v>
      </c>
      <c r="H617" s="10">
        <f t="shared" si="806"/>
        <v>2.4895387427252178</v>
      </c>
      <c r="I617" s="10">
        <f t="shared" si="807"/>
        <v>2689.3</v>
      </c>
      <c r="J617" s="10">
        <f t="shared" si="808"/>
        <v>19.2</v>
      </c>
      <c r="K617" s="10">
        <f t="shared" si="809"/>
        <v>422</v>
      </c>
      <c r="L617" s="10" t="str">
        <f t="shared" si="810"/>
        <v>Y</v>
      </c>
      <c r="M617" s="10">
        <f t="shared" si="811"/>
        <v>19475</v>
      </c>
      <c r="N617" s="10">
        <f t="shared" si="812"/>
        <v>19475</v>
      </c>
      <c r="O617" s="10">
        <f t="shared" si="813"/>
        <v>18417</v>
      </c>
      <c r="P617" s="10">
        <f t="shared" si="814"/>
        <v>0</v>
      </c>
      <c r="Q617" s="10">
        <f t="shared" si="815"/>
        <v>20791</v>
      </c>
      <c r="R617" s="10" t="str">
        <f t="shared" si="816"/>
        <v>Yes</v>
      </c>
      <c r="S617" s="10" t="str">
        <f t="shared" si="817"/>
        <v>Resource Recovery Centre, 177 Berrima Road MOSS VALE</v>
      </c>
      <c r="T617" s="10">
        <f t="shared" si="818"/>
        <v>0</v>
      </c>
      <c r="U617" s="10">
        <f t="shared" si="819"/>
        <v>0</v>
      </c>
      <c r="V617" s="10">
        <f t="shared" si="820"/>
        <v>0</v>
      </c>
      <c r="W617" s="10">
        <f t="shared" si="821"/>
        <v>0</v>
      </c>
      <c r="X617" s="10">
        <f t="shared" si="822"/>
        <v>0</v>
      </c>
      <c r="Y617" s="10">
        <f t="shared" si="823"/>
        <v>0</v>
      </c>
      <c r="Z617" s="10">
        <f t="shared" si="824"/>
        <v>0</v>
      </c>
      <c r="AA617" s="10">
        <f t="shared" si="825"/>
        <v>0</v>
      </c>
      <c r="AB617" s="10">
        <f t="shared" si="826"/>
        <v>0</v>
      </c>
      <c r="AC617" s="10">
        <f t="shared" si="827"/>
        <v>0</v>
      </c>
      <c r="AD617" s="10">
        <f t="shared" si="828"/>
        <v>0</v>
      </c>
      <c r="AE617" s="10">
        <f t="shared" si="829"/>
        <v>0</v>
      </c>
      <c r="AF617" s="10">
        <f t="shared" si="830"/>
        <v>0</v>
      </c>
      <c r="AG617" s="10">
        <f t="shared" si="831"/>
        <v>0</v>
      </c>
      <c r="AH617" s="10">
        <f t="shared" si="832"/>
        <v>0</v>
      </c>
      <c r="AI617" s="10">
        <f t="shared" si="833"/>
        <v>0</v>
      </c>
      <c r="AJ617" s="10">
        <f t="shared" si="834"/>
        <v>0</v>
      </c>
      <c r="AK617" s="10">
        <f t="shared" si="835"/>
        <v>0</v>
      </c>
      <c r="AL617" s="10">
        <f t="shared" si="836"/>
        <v>0</v>
      </c>
      <c r="AM617" s="10">
        <f t="shared" si="837"/>
        <v>0</v>
      </c>
      <c r="AN617" s="46">
        <f t="shared" si="838"/>
        <v>0</v>
      </c>
      <c r="AO617" s="10">
        <f t="shared" si="839"/>
        <v>0</v>
      </c>
      <c r="AP617" s="10">
        <f t="shared" si="840"/>
        <v>0</v>
      </c>
      <c r="AQ617" s="10">
        <f t="shared" si="841"/>
        <v>0</v>
      </c>
      <c r="AR617" s="10">
        <f t="shared" si="842"/>
        <v>0</v>
      </c>
      <c r="AS617" s="10">
        <f t="shared" si="843"/>
        <v>0</v>
      </c>
      <c r="AT617" s="10">
        <f t="shared" si="844"/>
        <v>0</v>
      </c>
      <c r="AU617" s="10">
        <f t="shared" si="845"/>
        <v>0</v>
      </c>
      <c r="AV617" s="10">
        <f t="shared" si="846"/>
        <v>0</v>
      </c>
      <c r="AW617" s="10">
        <f t="shared" si="847"/>
        <v>0</v>
      </c>
      <c r="AX617" s="10">
        <f t="shared" si="848"/>
        <v>0</v>
      </c>
    </row>
    <row r="618" spans="1:50" ht="13.5" thickBot="1" x14ac:dyDescent="0.25">
      <c r="A618" s="8">
        <v>18710</v>
      </c>
      <c r="B618" s="89" t="str">
        <f t="shared" si="800"/>
        <v>Yass Valley</v>
      </c>
      <c r="C618" s="9" t="str">
        <f t="shared" si="801"/>
        <v>CRJO</v>
      </c>
      <c r="D618" s="51" t="str">
        <f t="shared" si="802"/>
        <v>N</v>
      </c>
      <c r="E618" s="10" t="str">
        <f t="shared" si="803"/>
        <v>CRJO</v>
      </c>
      <c r="F618" s="10">
        <f t="shared" si="804"/>
        <v>17321</v>
      </c>
      <c r="G618" s="10">
        <f t="shared" si="805"/>
        <v>7781</v>
      </c>
      <c r="H618" s="10">
        <f t="shared" si="806"/>
        <v>2.2260634879835495</v>
      </c>
      <c r="I618" s="10">
        <f t="shared" si="807"/>
        <v>3995.3</v>
      </c>
      <c r="J618" s="10">
        <f t="shared" si="808"/>
        <v>4.3</v>
      </c>
      <c r="K618" s="10">
        <f t="shared" si="809"/>
        <v>407</v>
      </c>
      <c r="L618" s="10" t="str">
        <f t="shared" si="810"/>
        <v>Y</v>
      </c>
      <c r="M618" s="10">
        <f t="shared" si="811"/>
        <v>4589</v>
      </c>
      <c r="N618" s="10">
        <f t="shared" si="812"/>
        <v>4599</v>
      </c>
      <c r="O618" s="10">
        <f t="shared" si="813"/>
        <v>0</v>
      </c>
      <c r="P618" s="10">
        <f t="shared" si="814"/>
        <v>0</v>
      </c>
      <c r="Q618" s="10">
        <f t="shared" si="815"/>
        <v>0</v>
      </c>
      <c r="R618" s="10" t="str">
        <f t="shared" si="816"/>
        <v>Yes</v>
      </c>
      <c r="S618" s="10" t="str">
        <f t="shared" si="817"/>
        <v>Yass transferstation</v>
      </c>
      <c r="T618" s="10" t="str">
        <f t="shared" si="818"/>
        <v>Murrumbateman Transfer station</v>
      </c>
      <c r="U618" s="10" t="str">
        <f t="shared" si="819"/>
        <v>Binalong transfer station</v>
      </c>
      <c r="V618" s="10" t="str">
        <f t="shared" si="820"/>
        <v>Gundaroo transfer station</v>
      </c>
      <c r="W618" s="10" t="str">
        <f t="shared" si="821"/>
        <v>Bookham transfer station</v>
      </c>
      <c r="X618" s="10" t="str">
        <f t="shared" si="822"/>
        <v>bowning transfer station</v>
      </c>
      <c r="Y618" s="10">
        <f t="shared" si="823"/>
        <v>0</v>
      </c>
      <c r="Z618" s="10">
        <f t="shared" si="824"/>
        <v>0</v>
      </c>
      <c r="AA618" s="10">
        <f t="shared" si="825"/>
        <v>0</v>
      </c>
      <c r="AB618" s="10">
        <f t="shared" si="826"/>
        <v>0</v>
      </c>
      <c r="AC618" s="10">
        <f t="shared" si="827"/>
        <v>0</v>
      </c>
      <c r="AD618" s="10">
        <f t="shared" si="828"/>
        <v>0</v>
      </c>
      <c r="AE618" s="10">
        <f t="shared" si="829"/>
        <v>0</v>
      </c>
      <c r="AF618" s="10">
        <f t="shared" si="830"/>
        <v>0</v>
      </c>
      <c r="AG618" s="10">
        <f t="shared" si="831"/>
        <v>0</v>
      </c>
      <c r="AH618" s="10">
        <f t="shared" si="832"/>
        <v>0</v>
      </c>
      <c r="AI618" s="10">
        <f t="shared" si="833"/>
        <v>0</v>
      </c>
      <c r="AJ618" s="10">
        <f t="shared" si="834"/>
        <v>0</v>
      </c>
      <c r="AK618" s="10">
        <f t="shared" si="835"/>
        <v>0</v>
      </c>
      <c r="AL618" s="10">
        <f t="shared" si="836"/>
        <v>0</v>
      </c>
      <c r="AM618" s="10">
        <f t="shared" si="837"/>
        <v>0</v>
      </c>
      <c r="AN618" s="46">
        <f t="shared" si="838"/>
        <v>0</v>
      </c>
      <c r="AO618" s="10">
        <f t="shared" si="839"/>
        <v>0</v>
      </c>
      <c r="AP618" s="10">
        <f t="shared" si="840"/>
        <v>0</v>
      </c>
      <c r="AQ618" s="10">
        <f t="shared" si="841"/>
        <v>0</v>
      </c>
      <c r="AR618" s="10">
        <f t="shared" si="842"/>
        <v>0</v>
      </c>
      <c r="AS618" s="10">
        <f t="shared" si="843"/>
        <v>0</v>
      </c>
      <c r="AT618" s="10">
        <f t="shared" si="844"/>
        <v>0</v>
      </c>
      <c r="AU618" s="10">
        <f t="shared" si="845"/>
        <v>0</v>
      </c>
      <c r="AV618" s="10">
        <f t="shared" si="846"/>
        <v>0</v>
      </c>
      <c r="AW618" s="10">
        <f t="shared" si="847"/>
        <v>0</v>
      </c>
      <c r="AX618" s="10">
        <f t="shared" si="848"/>
        <v>0</v>
      </c>
    </row>
    <row r="619" spans="1:50" ht="13.5" thickTop="1" x14ac:dyDescent="0.2">
      <c r="A619" s="11"/>
      <c r="B619" s="11"/>
      <c r="C619" s="11" t="s">
        <v>30</v>
      </c>
      <c r="D619" s="11"/>
      <c r="E619" s="12"/>
      <c r="F619" s="13">
        <f t="shared" ref="F619:AX619" si="849">COUNTIF(F609:F618,"&gt;0")</f>
        <v>10</v>
      </c>
      <c r="G619" s="13">
        <f t="shared" si="849"/>
        <v>10</v>
      </c>
      <c r="H619" s="13">
        <f t="shared" si="849"/>
        <v>10</v>
      </c>
      <c r="I619" s="13">
        <f t="shared" si="849"/>
        <v>10</v>
      </c>
      <c r="J619" s="13">
        <f t="shared" si="849"/>
        <v>10</v>
      </c>
      <c r="K619" s="13">
        <f t="shared" si="849"/>
        <v>10</v>
      </c>
      <c r="L619" s="13">
        <f t="shared" si="849"/>
        <v>0</v>
      </c>
      <c r="M619" s="13">
        <f t="shared" si="849"/>
        <v>10</v>
      </c>
      <c r="N619" s="13">
        <f t="shared" si="849"/>
        <v>10</v>
      </c>
      <c r="O619" s="13">
        <f t="shared" si="849"/>
        <v>5</v>
      </c>
      <c r="P619" s="13">
        <f t="shared" si="849"/>
        <v>4</v>
      </c>
      <c r="Q619" s="13">
        <f t="shared" si="849"/>
        <v>4</v>
      </c>
      <c r="R619" s="13">
        <f t="shared" si="849"/>
        <v>0</v>
      </c>
      <c r="S619" s="13">
        <f t="shared" si="849"/>
        <v>0</v>
      </c>
      <c r="T619" s="13">
        <f t="shared" si="849"/>
        <v>0</v>
      </c>
      <c r="U619" s="13">
        <f t="shared" si="849"/>
        <v>0</v>
      </c>
      <c r="V619" s="13">
        <f t="shared" si="849"/>
        <v>0</v>
      </c>
      <c r="W619" s="13">
        <f t="shared" si="849"/>
        <v>0</v>
      </c>
      <c r="X619" s="13">
        <f t="shared" si="849"/>
        <v>0</v>
      </c>
      <c r="Y619" s="13">
        <f t="shared" si="849"/>
        <v>0</v>
      </c>
      <c r="Z619" s="13">
        <f t="shared" si="849"/>
        <v>0</v>
      </c>
      <c r="AA619" s="13">
        <f t="shared" si="849"/>
        <v>0</v>
      </c>
      <c r="AB619" s="13">
        <f t="shared" si="849"/>
        <v>0</v>
      </c>
      <c r="AC619" s="13">
        <f t="shared" si="849"/>
        <v>0</v>
      </c>
      <c r="AD619" s="13">
        <f t="shared" si="849"/>
        <v>0</v>
      </c>
      <c r="AE619" s="13">
        <f t="shared" si="849"/>
        <v>0</v>
      </c>
      <c r="AF619" s="13">
        <f t="shared" si="849"/>
        <v>0</v>
      </c>
      <c r="AG619" s="13">
        <f t="shared" si="849"/>
        <v>0</v>
      </c>
      <c r="AH619" s="13">
        <f t="shared" si="849"/>
        <v>0</v>
      </c>
      <c r="AI619" s="13">
        <f t="shared" si="849"/>
        <v>0</v>
      </c>
      <c r="AJ619" s="13">
        <f t="shared" si="849"/>
        <v>0</v>
      </c>
      <c r="AK619" s="13">
        <f t="shared" si="849"/>
        <v>0</v>
      </c>
      <c r="AL619" s="13">
        <f t="shared" si="849"/>
        <v>0</v>
      </c>
      <c r="AM619" s="44">
        <f t="shared" si="849"/>
        <v>0</v>
      </c>
      <c r="AN619" s="13">
        <f t="shared" si="849"/>
        <v>0</v>
      </c>
      <c r="AO619" s="13">
        <f t="shared" si="849"/>
        <v>0</v>
      </c>
      <c r="AP619" s="13">
        <f t="shared" si="849"/>
        <v>0</v>
      </c>
      <c r="AQ619" s="13">
        <f t="shared" si="849"/>
        <v>0</v>
      </c>
      <c r="AR619" s="13">
        <f t="shared" si="849"/>
        <v>0</v>
      </c>
      <c r="AS619" s="13">
        <f t="shared" si="849"/>
        <v>0</v>
      </c>
      <c r="AT619" s="13">
        <f t="shared" si="849"/>
        <v>0</v>
      </c>
      <c r="AU619" s="13">
        <f t="shared" si="849"/>
        <v>0</v>
      </c>
      <c r="AV619" s="13">
        <f t="shared" si="849"/>
        <v>0</v>
      </c>
      <c r="AW619" s="13">
        <f t="shared" si="849"/>
        <v>0</v>
      </c>
      <c r="AX619" s="13">
        <f t="shared" si="849"/>
        <v>0</v>
      </c>
    </row>
    <row r="620" spans="1:50" x14ac:dyDescent="0.2">
      <c r="A620" s="8"/>
      <c r="B620" s="8"/>
      <c r="C620" s="8" t="s">
        <v>31</v>
      </c>
      <c r="D620" s="8"/>
      <c r="E620" s="80"/>
      <c r="F620" s="15">
        <f t="shared" ref="F620:AX620" si="850">SUM(F609:F618)</f>
        <v>298853</v>
      </c>
      <c r="G620" s="15">
        <f t="shared" si="850"/>
        <v>144567</v>
      </c>
      <c r="H620" s="110">
        <f>F620/G620</f>
        <v>2.0672283439512475</v>
      </c>
      <c r="I620" s="15">
        <f t="shared" si="850"/>
        <v>63321.500000000007</v>
      </c>
      <c r="J620" s="15">
        <f t="shared" si="850"/>
        <v>68.7</v>
      </c>
      <c r="K620" s="15">
        <f t="shared" si="850"/>
        <v>4413.83</v>
      </c>
      <c r="L620" s="15">
        <f t="shared" si="850"/>
        <v>0</v>
      </c>
      <c r="M620" s="15">
        <f t="shared" si="850"/>
        <v>117784</v>
      </c>
      <c r="N620" s="15">
        <f t="shared" si="850"/>
        <v>112006</v>
      </c>
      <c r="O620" s="15">
        <f t="shared" si="850"/>
        <v>60766</v>
      </c>
      <c r="P620" s="15">
        <f t="shared" si="850"/>
        <v>24557</v>
      </c>
      <c r="Q620" s="15">
        <f t="shared" si="850"/>
        <v>84324</v>
      </c>
      <c r="R620" s="15">
        <f t="shared" si="850"/>
        <v>0</v>
      </c>
      <c r="S620" s="15">
        <f t="shared" si="850"/>
        <v>0</v>
      </c>
      <c r="T620" s="15">
        <f t="shared" si="850"/>
        <v>0</v>
      </c>
      <c r="U620" s="15">
        <f t="shared" si="850"/>
        <v>0</v>
      </c>
      <c r="V620" s="15">
        <f t="shared" si="850"/>
        <v>0</v>
      </c>
      <c r="W620" s="15">
        <f t="shared" si="850"/>
        <v>0</v>
      </c>
      <c r="X620" s="15">
        <f t="shared" si="850"/>
        <v>0</v>
      </c>
      <c r="Y620" s="15">
        <f t="shared" si="850"/>
        <v>0</v>
      </c>
      <c r="Z620" s="15">
        <f t="shared" si="850"/>
        <v>0</v>
      </c>
      <c r="AA620" s="15">
        <f t="shared" si="850"/>
        <v>0</v>
      </c>
      <c r="AB620" s="15">
        <f t="shared" si="850"/>
        <v>0</v>
      </c>
      <c r="AC620" s="15">
        <f t="shared" si="850"/>
        <v>0</v>
      </c>
      <c r="AD620" s="15">
        <f t="shared" si="850"/>
        <v>0</v>
      </c>
      <c r="AE620" s="15">
        <f t="shared" si="850"/>
        <v>0</v>
      </c>
      <c r="AF620" s="15">
        <f t="shared" si="850"/>
        <v>0</v>
      </c>
      <c r="AG620" s="15">
        <f t="shared" si="850"/>
        <v>0</v>
      </c>
      <c r="AH620" s="15">
        <f t="shared" si="850"/>
        <v>0</v>
      </c>
      <c r="AI620" s="15">
        <f t="shared" si="850"/>
        <v>0</v>
      </c>
      <c r="AJ620" s="15">
        <f t="shared" si="850"/>
        <v>0</v>
      </c>
      <c r="AK620" s="15">
        <f t="shared" si="850"/>
        <v>0</v>
      </c>
      <c r="AL620" s="15">
        <f t="shared" si="850"/>
        <v>0</v>
      </c>
      <c r="AM620" s="45">
        <f t="shared" si="850"/>
        <v>0</v>
      </c>
      <c r="AN620" s="15">
        <f t="shared" si="850"/>
        <v>0</v>
      </c>
      <c r="AO620" s="15">
        <f t="shared" si="850"/>
        <v>0</v>
      </c>
      <c r="AP620" s="15">
        <f t="shared" si="850"/>
        <v>0</v>
      </c>
      <c r="AQ620" s="15">
        <f t="shared" si="850"/>
        <v>0</v>
      </c>
      <c r="AR620" s="15">
        <f t="shared" si="850"/>
        <v>0</v>
      </c>
      <c r="AS620" s="15">
        <f t="shared" si="850"/>
        <v>0</v>
      </c>
      <c r="AT620" s="15">
        <f t="shared" si="850"/>
        <v>0</v>
      </c>
      <c r="AU620" s="15">
        <f t="shared" si="850"/>
        <v>0</v>
      </c>
      <c r="AV620" s="15">
        <f t="shared" si="850"/>
        <v>0</v>
      </c>
      <c r="AW620" s="15">
        <f t="shared" si="850"/>
        <v>0</v>
      </c>
      <c r="AX620" s="15">
        <f t="shared" si="850"/>
        <v>0</v>
      </c>
    </row>
    <row r="621" spans="1:50" x14ac:dyDescent="0.2">
      <c r="A621" s="8"/>
      <c r="B621" s="8"/>
      <c r="C621" s="8" t="s">
        <v>32</v>
      </c>
      <c r="D621" s="8"/>
      <c r="E621" s="80"/>
      <c r="F621" s="10">
        <f t="shared" ref="F621:AX621" si="851">MIN(F609:F618)</f>
        <v>8274</v>
      </c>
      <c r="G621" s="10">
        <f t="shared" si="851"/>
        <v>6397</v>
      </c>
      <c r="H621" s="10">
        <f t="shared" si="851"/>
        <v>1.2934187900578396</v>
      </c>
      <c r="I621" s="10">
        <f t="shared" si="851"/>
        <v>2689.3</v>
      </c>
      <c r="J621" s="10">
        <f t="shared" si="851"/>
        <v>1.2</v>
      </c>
      <c r="K621" s="10">
        <f t="shared" si="851"/>
        <v>299.25</v>
      </c>
      <c r="L621" s="10">
        <f t="shared" si="851"/>
        <v>0</v>
      </c>
      <c r="M621" s="10">
        <f t="shared" si="851"/>
        <v>2193</v>
      </c>
      <c r="N621" s="10">
        <f t="shared" si="851"/>
        <v>2193</v>
      </c>
      <c r="O621" s="10">
        <f t="shared" si="851"/>
        <v>0</v>
      </c>
      <c r="P621" s="10">
        <f t="shared" si="851"/>
        <v>0</v>
      </c>
      <c r="Q621" s="10">
        <f t="shared" si="851"/>
        <v>0</v>
      </c>
      <c r="R621" s="10">
        <f t="shared" si="851"/>
        <v>0</v>
      </c>
      <c r="S621" s="10">
        <f t="shared" si="851"/>
        <v>0</v>
      </c>
      <c r="T621" s="10">
        <f t="shared" si="851"/>
        <v>0</v>
      </c>
      <c r="U621" s="10">
        <f t="shared" si="851"/>
        <v>0</v>
      </c>
      <c r="V621" s="10">
        <f t="shared" si="851"/>
        <v>0</v>
      </c>
      <c r="W621" s="10">
        <f t="shared" si="851"/>
        <v>0</v>
      </c>
      <c r="X621" s="10">
        <f t="shared" si="851"/>
        <v>0</v>
      </c>
      <c r="Y621" s="10">
        <f t="shared" si="851"/>
        <v>0</v>
      </c>
      <c r="Z621" s="10">
        <f t="shared" si="851"/>
        <v>0</v>
      </c>
      <c r="AA621" s="10">
        <f t="shared" si="851"/>
        <v>0</v>
      </c>
      <c r="AB621" s="10">
        <f t="shared" si="851"/>
        <v>0</v>
      </c>
      <c r="AC621" s="10">
        <f t="shared" si="851"/>
        <v>0</v>
      </c>
      <c r="AD621" s="10">
        <f t="shared" si="851"/>
        <v>0</v>
      </c>
      <c r="AE621" s="10">
        <f t="shared" si="851"/>
        <v>0</v>
      </c>
      <c r="AF621" s="10">
        <f t="shared" si="851"/>
        <v>0</v>
      </c>
      <c r="AG621" s="10">
        <f t="shared" si="851"/>
        <v>0</v>
      </c>
      <c r="AH621" s="10">
        <f t="shared" si="851"/>
        <v>0</v>
      </c>
      <c r="AI621" s="10">
        <f t="shared" si="851"/>
        <v>0</v>
      </c>
      <c r="AJ621" s="10">
        <f t="shared" si="851"/>
        <v>0</v>
      </c>
      <c r="AK621" s="10">
        <f t="shared" si="851"/>
        <v>0</v>
      </c>
      <c r="AL621" s="10">
        <f t="shared" si="851"/>
        <v>0</v>
      </c>
      <c r="AM621" s="46">
        <f t="shared" si="851"/>
        <v>0</v>
      </c>
      <c r="AN621" s="10">
        <f t="shared" si="851"/>
        <v>0</v>
      </c>
      <c r="AO621" s="10">
        <f t="shared" si="851"/>
        <v>0</v>
      </c>
      <c r="AP621" s="10">
        <f t="shared" si="851"/>
        <v>0</v>
      </c>
      <c r="AQ621" s="10">
        <f t="shared" si="851"/>
        <v>0</v>
      </c>
      <c r="AR621" s="10">
        <f t="shared" si="851"/>
        <v>0</v>
      </c>
      <c r="AS621" s="10">
        <f t="shared" si="851"/>
        <v>0</v>
      </c>
      <c r="AT621" s="10">
        <f t="shared" si="851"/>
        <v>0</v>
      </c>
      <c r="AU621" s="10">
        <f t="shared" si="851"/>
        <v>0</v>
      </c>
      <c r="AV621" s="10">
        <f t="shared" si="851"/>
        <v>0</v>
      </c>
      <c r="AW621" s="10">
        <f t="shared" si="851"/>
        <v>0</v>
      </c>
      <c r="AX621" s="10">
        <f t="shared" si="851"/>
        <v>0</v>
      </c>
    </row>
    <row r="622" spans="1:50" x14ac:dyDescent="0.2">
      <c r="A622" s="8"/>
      <c r="B622" s="8"/>
      <c r="C622" s="8" t="s">
        <v>33</v>
      </c>
      <c r="D622" s="8"/>
      <c r="E622" s="80"/>
      <c r="F622" s="10">
        <f t="shared" ref="F622:AX622" si="852">MAX(F609:F618)</f>
        <v>62239</v>
      </c>
      <c r="G622" s="10">
        <f t="shared" si="852"/>
        <v>24402</v>
      </c>
      <c r="H622" s="10">
        <f t="shared" si="852"/>
        <v>2.7822530174340634</v>
      </c>
      <c r="I622" s="10">
        <f t="shared" si="852"/>
        <v>15163.5</v>
      </c>
      <c r="J622" s="10">
        <f t="shared" si="852"/>
        <v>19.2</v>
      </c>
      <c r="K622" s="10">
        <f t="shared" si="852"/>
        <v>613</v>
      </c>
      <c r="L622" s="10">
        <f t="shared" si="852"/>
        <v>0</v>
      </c>
      <c r="M622" s="10">
        <f t="shared" si="852"/>
        <v>24402</v>
      </c>
      <c r="N622" s="10">
        <f t="shared" si="852"/>
        <v>22891</v>
      </c>
      <c r="O622" s="10">
        <f t="shared" si="852"/>
        <v>21428</v>
      </c>
      <c r="P622" s="10">
        <f t="shared" si="852"/>
        <v>10390</v>
      </c>
      <c r="Q622" s="10">
        <f t="shared" si="852"/>
        <v>24402</v>
      </c>
      <c r="R622" s="10">
        <f t="shared" si="852"/>
        <v>0</v>
      </c>
      <c r="S622" s="10">
        <f t="shared" si="852"/>
        <v>0</v>
      </c>
      <c r="T622" s="10">
        <f t="shared" si="852"/>
        <v>0</v>
      </c>
      <c r="U622" s="10">
        <f t="shared" si="852"/>
        <v>0</v>
      </c>
      <c r="V622" s="10">
        <f t="shared" si="852"/>
        <v>0</v>
      </c>
      <c r="W622" s="10">
        <f t="shared" si="852"/>
        <v>0</v>
      </c>
      <c r="X622" s="10">
        <f t="shared" si="852"/>
        <v>0</v>
      </c>
      <c r="Y622" s="10">
        <f t="shared" si="852"/>
        <v>0</v>
      </c>
      <c r="Z622" s="10">
        <f t="shared" si="852"/>
        <v>0</v>
      </c>
      <c r="AA622" s="10">
        <f t="shared" si="852"/>
        <v>0</v>
      </c>
      <c r="AB622" s="10">
        <f t="shared" si="852"/>
        <v>0</v>
      </c>
      <c r="AC622" s="10">
        <f t="shared" si="852"/>
        <v>0</v>
      </c>
      <c r="AD622" s="10">
        <f t="shared" si="852"/>
        <v>0</v>
      </c>
      <c r="AE622" s="10">
        <f t="shared" si="852"/>
        <v>0</v>
      </c>
      <c r="AF622" s="10">
        <f t="shared" si="852"/>
        <v>0</v>
      </c>
      <c r="AG622" s="10">
        <f t="shared" si="852"/>
        <v>0</v>
      </c>
      <c r="AH622" s="10">
        <f t="shared" si="852"/>
        <v>0</v>
      </c>
      <c r="AI622" s="10">
        <f t="shared" si="852"/>
        <v>0</v>
      </c>
      <c r="AJ622" s="10">
        <f t="shared" si="852"/>
        <v>0</v>
      </c>
      <c r="AK622" s="10">
        <f t="shared" si="852"/>
        <v>0</v>
      </c>
      <c r="AL622" s="10">
        <f t="shared" si="852"/>
        <v>0</v>
      </c>
      <c r="AM622" s="46">
        <f t="shared" si="852"/>
        <v>0</v>
      </c>
      <c r="AN622" s="10">
        <f t="shared" si="852"/>
        <v>0</v>
      </c>
      <c r="AO622" s="10">
        <f t="shared" si="852"/>
        <v>0</v>
      </c>
      <c r="AP622" s="10">
        <f t="shared" si="852"/>
        <v>0</v>
      </c>
      <c r="AQ622" s="10">
        <f t="shared" si="852"/>
        <v>0</v>
      </c>
      <c r="AR622" s="10">
        <f t="shared" si="852"/>
        <v>0</v>
      </c>
      <c r="AS622" s="10">
        <f t="shared" si="852"/>
        <v>0</v>
      </c>
      <c r="AT622" s="10">
        <f t="shared" si="852"/>
        <v>0</v>
      </c>
      <c r="AU622" s="10">
        <f t="shared" si="852"/>
        <v>0</v>
      </c>
      <c r="AV622" s="10">
        <f t="shared" si="852"/>
        <v>0</v>
      </c>
      <c r="AW622" s="10">
        <f t="shared" si="852"/>
        <v>0</v>
      </c>
      <c r="AX622" s="10">
        <f t="shared" si="852"/>
        <v>0</v>
      </c>
    </row>
    <row r="623" spans="1:50" x14ac:dyDescent="0.2">
      <c r="A623" s="8"/>
      <c r="B623" s="8"/>
      <c r="C623" s="8" t="s">
        <v>34</v>
      </c>
      <c r="D623" s="8"/>
      <c r="E623" s="80"/>
      <c r="F623" s="10">
        <f t="shared" ref="F623:AX623" si="853">AVERAGE(F609:F618)</f>
        <v>29885.3</v>
      </c>
      <c r="G623" s="10">
        <f t="shared" si="853"/>
        <v>14456.7</v>
      </c>
      <c r="H623" s="10">
        <f t="shared" si="853"/>
        <v>2.0077040636408237</v>
      </c>
      <c r="I623" s="10">
        <f t="shared" si="853"/>
        <v>6332.1500000000005</v>
      </c>
      <c r="J623" s="10">
        <f t="shared" si="853"/>
        <v>6.87</v>
      </c>
      <c r="K623" s="10">
        <f t="shared" si="853"/>
        <v>441.38299999999998</v>
      </c>
      <c r="L623" s="10" t="e">
        <f t="shared" si="853"/>
        <v>#DIV/0!</v>
      </c>
      <c r="M623" s="10">
        <f t="shared" si="853"/>
        <v>11778.4</v>
      </c>
      <c r="N623" s="10">
        <f t="shared" si="853"/>
        <v>11200.6</v>
      </c>
      <c r="O623" s="10">
        <f t="shared" si="853"/>
        <v>6076.6</v>
      </c>
      <c r="P623" s="10">
        <f t="shared" si="853"/>
        <v>2455.6999999999998</v>
      </c>
      <c r="Q623" s="10">
        <f t="shared" si="853"/>
        <v>8432.4</v>
      </c>
      <c r="R623" s="10" t="e">
        <f t="shared" si="853"/>
        <v>#DIV/0!</v>
      </c>
      <c r="S623" s="10" t="e">
        <f t="shared" si="853"/>
        <v>#DIV/0!</v>
      </c>
      <c r="T623" s="10">
        <f t="shared" si="853"/>
        <v>0</v>
      </c>
      <c r="U623" s="10">
        <f t="shared" si="853"/>
        <v>0</v>
      </c>
      <c r="V623" s="10">
        <f t="shared" si="853"/>
        <v>0</v>
      </c>
      <c r="W623" s="10">
        <f t="shared" si="853"/>
        <v>0</v>
      </c>
      <c r="X623" s="10">
        <f t="shared" si="853"/>
        <v>0</v>
      </c>
      <c r="Y623" s="10">
        <f t="shared" si="853"/>
        <v>0</v>
      </c>
      <c r="Z623" s="10">
        <f t="shared" si="853"/>
        <v>0</v>
      </c>
      <c r="AA623" s="10">
        <f t="shared" si="853"/>
        <v>0</v>
      </c>
      <c r="AB623" s="10">
        <f t="shared" si="853"/>
        <v>0</v>
      </c>
      <c r="AC623" s="10">
        <f t="shared" si="853"/>
        <v>0</v>
      </c>
      <c r="AD623" s="10">
        <f t="shared" si="853"/>
        <v>0</v>
      </c>
      <c r="AE623" s="10">
        <f t="shared" si="853"/>
        <v>0</v>
      </c>
      <c r="AF623" s="10">
        <f t="shared" si="853"/>
        <v>0</v>
      </c>
      <c r="AG623" s="10">
        <f t="shared" si="853"/>
        <v>0</v>
      </c>
      <c r="AH623" s="10">
        <f t="shared" si="853"/>
        <v>0</v>
      </c>
      <c r="AI623" s="10">
        <f t="shared" si="853"/>
        <v>0</v>
      </c>
      <c r="AJ623" s="10">
        <f t="shared" si="853"/>
        <v>0</v>
      </c>
      <c r="AK623" s="10">
        <f t="shared" si="853"/>
        <v>0</v>
      </c>
      <c r="AL623" s="10">
        <f t="shared" si="853"/>
        <v>0</v>
      </c>
      <c r="AM623" s="46">
        <f t="shared" si="853"/>
        <v>0</v>
      </c>
      <c r="AN623" s="10">
        <f t="shared" si="853"/>
        <v>0</v>
      </c>
      <c r="AO623" s="10">
        <f t="shared" si="853"/>
        <v>0</v>
      </c>
      <c r="AP623" s="10">
        <f t="shared" si="853"/>
        <v>0</v>
      </c>
      <c r="AQ623" s="10">
        <f t="shared" si="853"/>
        <v>0</v>
      </c>
      <c r="AR623" s="10">
        <f t="shared" si="853"/>
        <v>0</v>
      </c>
      <c r="AS623" s="10">
        <f t="shared" si="853"/>
        <v>0</v>
      </c>
      <c r="AT623" s="10">
        <f t="shared" si="853"/>
        <v>0</v>
      </c>
      <c r="AU623" s="10">
        <f t="shared" si="853"/>
        <v>0</v>
      </c>
      <c r="AV623" s="10">
        <f t="shared" si="853"/>
        <v>0</v>
      </c>
      <c r="AW623" s="10">
        <f t="shared" si="853"/>
        <v>0</v>
      </c>
      <c r="AX623" s="10">
        <f t="shared" si="853"/>
        <v>0</v>
      </c>
    </row>
    <row r="624" spans="1:50" ht="13.5" thickBot="1" x14ac:dyDescent="0.25">
      <c r="A624" s="16"/>
      <c r="B624" s="16"/>
      <c r="C624" s="16" t="s">
        <v>35</v>
      </c>
      <c r="D624" s="16"/>
      <c r="E624" s="80"/>
      <c r="F624" s="18">
        <f t="shared" ref="F624:AX624" si="854">MEDIAN(F609:F618)</f>
        <v>26275.5</v>
      </c>
      <c r="G624" s="18">
        <f t="shared" si="854"/>
        <v>14107.5</v>
      </c>
      <c r="H624" s="18">
        <f t="shared" si="854"/>
        <v>1.9872519828133162</v>
      </c>
      <c r="I624" s="18">
        <f t="shared" si="854"/>
        <v>5798.9</v>
      </c>
      <c r="J624" s="18">
        <f t="shared" si="854"/>
        <v>4.9000000000000004</v>
      </c>
      <c r="K624" s="18">
        <f t="shared" si="854"/>
        <v>448.5</v>
      </c>
      <c r="L624" s="18" t="e">
        <f t="shared" si="854"/>
        <v>#NUM!</v>
      </c>
      <c r="M624" s="18">
        <f t="shared" si="854"/>
        <v>10227</v>
      </c>
      <c r="N624" s="18">
        <f t="shared" si="854"/>
        <v>8933.5</v>
      </c>
      <c r="O624" s="18">
        <f t="shared" si="854"/>
        <v>1096.5</v>
      </c>
      <c r="P624" s="18">
        <f t="shared" si="854"/>
        <v>0</v>
      </c>
      <c r="Q624" s="18">
        <f t="shared" si="854"/>
        <v>0</v>
      </c>
      <c r="R624" s="18" t="e">
        <f t="shared" si="854"/>
        <v>#NUM!</v>
      </c>
      <c r="S624" s="18" t="e">
        <f t="shared" si="854"/>
        <v>#NUM!</v>
      </c>
      <c r="T624" s="18">
        <f t="shared" si="854"/>
        <v>0</v>
      </c>
      <c r="U624" s="18">
        <f t="shared" si="854"/>
        <v>0</v>
      </c>
      <c r="V624" s="18">
        <f t="shared" si="854"/>
        <v>0</v>
      </c>
      <c r="W624" s="18">
        <f t="shared" si="854"/>
        <v>0</v>
      </c>
      <c r="X624" s="18">
        <f t="shared" si="854"/>
        <v>0</v>
      </c>
      <c r="Y624" s="18">
        <f t="shared" si="854"/>
        <v>0</v>
      </c>
      <c r="Z624" s="18">
        <f t="shared" si="854"/>
        <v>0</v>
      </c>
      <c r="AA624" s="18">
        <f t="shared" si="854"/>
        <v>0</v>
      </c>
      <c r="AB624" s="18">
        <f t="shared" si="854"/>
        <v>0</v>
      </c>
      <c r="AC624" s="18">
        <f t="shared" si="854"/>
        <v>0</v>
      </c>
      <c r="AD624" s="18">
        <f t="shared" si="854"/>
        <v>0</v>
      </c>
      <c r="AE624" s="18">
        <f t="shared" si="854"/>
        <v>0</v>
      </c>
      <c r="AF624" s="18">
        <f t="shared" si="854"/>
        <v>0</v>
      </c>
      <c r="AG624" s="18">
        <f t="shared" si="854"/>
        <v>0</v>
      </c>
      <c r="AH624" s="18">
        <f t="shared" si="854"/>
        <v>0</v>
      </c>
      <c r="AI624" s="18">
        <f t="shared" si="854"/>
        <v>0</v>
      </c>
      <c r="AJ624" s="18">
        <f t="shared" si="854"/>
        <v>0</v>
      </c>
      <c r="AK624" s="18">
        <f t="shared" si="854"/>
        <v>0</v>
      </c>
      <c r="AL624" s="18">
        <f t="shared" si="854"/>
        <v>0</v>
      </c>
      <c r="AM624" s="47">
        <f t="shared" si="854"/>
        <v>0</v>
      </c>
      <c r="AN624" s="18">
        <f t="shared" si="854"/>
        <v>0</v>
      </c>
      <c r="AO624" s="18">
        <f t="shared" si="854"/>
        <v>0</v>
      </c>
      <c r="AP624" s="18">
        <f t="shared" si="854"/>
        <v>0</v>
      </c>
      <c r="AQ624" s="18">
        <f t="shared" si="854"/>
        <v>0</v>
      </c>
      <c r="AR624" s="18">
        <f t="shared" si="854"/>
        <v>0</v>
      </c>
      <c r="AS624" s="18">
        <f t="shared" si="854"/>
        <v>0</v>
      </c>
      <c r="AT624" s="18">
        <f t="shared" si="854"/>
        <v>0</v>
      </c>
      <c r="AU624" s="18">
        <f t="shared" si="854"/>
        <v>0</v>
      </c>
      <c r="AV624" s="18">
        <f t="shared" si="854"/>
        <v>0</v>
      </c>
      <c r="AW624" s="18">
        <f t="shared" si="854"/>
        <v>0</v>
      </c>
      <c r="AX624" s="18">
        <f t="shared" si="854"/>
        <v>0</v>
      </c>
    </row>
    <row r="625" spans="1:50" ht="13.5" thickTop="1" x14ac:dyDescent="0.2">
      <c r="B625"/>
      <c r="C625" s="5"/>
      <c r="D625" s="5"/>
    </row>
    <row r="626" spans="1:50" ht="13.5" thickBot="1" x14ac:dyDescent="0.25">
      <c r="A626" s="25"/>
      <c r="B626" s="25"/>
      <c r="C626" s="27" t="s">
        <v>16</v>
      </c>
      <c r="D626" s="27"/>
    </row>
    <row r="627" spans="1:50" ht="13.5" thickTop="1" x14ac:dyDescent="0.2">
      <c r="A627" s="8">
        <v>10050</v>
      </c>
      <c r="B627" s="89" t="str">
        <f t="shared" ref="B627:B633" si="855">VLOOKUP($A627,$A$5:$K$132,2,FALSE)</f>
        <v>Albury</v>
      </c>
      <c r="C627" s="9" t="str">
        <f t="shared" ref="C627:C633" si="856">VLOOKUP($A627,$A$5:$K$133,3,FALSE)</f>
        <v>RAMJO Murray</v>
      </c>
      <c r="D627" s="51" t="str">
        <f t="shared" ref="D627:D633" si="857">VLOOKUP($A627,$A$5:$K$133,4,FALSE)</f>
        <v>N</v>
      </c>
      <c r="E627" s="10" t="str">
        <f t="shared" ref="E627:E633" si="858">VLOOKUP($A627,$A$5:$AX$132,5,FALSE)</f>
        <v>RMJO</v>
      </c>
      <c r="F627" s="10">
        <f t="shared" ref="F627:F633" si="859">VLOOKUP($A627,$A$5:$AX$132,6,FALSE)</f>
        <v>55055</v>
      </c>
      <c r="G627" s="10">
        <f t="shared" ref="G627:G633" si="860">VLOOKUP($A627,$A$5:$AX$132,7,FALSE)</f>
        <v>25318</v>
      </c>
      <c r="H627" s="10">
        <f t="shared" ref="H627:H633" si="861">VLOOKUP($A627,$A$5:$AX$132,8,FALSE)</f>
        <v>2.1745398530689628</v>
      </c>
      <c r="I627" s="10">
        <f t="shared" ref="I627:I633" si="862">VLOOKUP($A627,$A$5:$AX$132,9,FALSE)</f>
        <v>305.89999999999998</v>
      </c>
      <c r="J627" s="10">
        <f t="shared" ref="J627:J633" si="863">VLOOKUP($A627,$A$5:$AX$132,10,FALSE)</f>
        <v>180</v>
      </c>
      <c r="K627" s="10">
        <f t="shared" ref="K627:K633" si="864">VLOOKUP($A627,$A$5:$AX$132,11,FALSE)</f>
        <v>250</v>
      </c>
      <c r="L627" s="10" t="str">
        <f t="shared" ref="L627:L633" si="865">VLOOKUP($A627,$A$4:$AX$132,12,FALSE)</f>
        <v>Y</v>
      </c>
      <c r="M627" s="10">
        <f t="shared" ref="M627:M633" si="866">VLOOKUP($A627,$A$4:$AX$132,13,FALSE)</f>
        <v>24044</v>
      </c>
      <c r="N627" s="10">
        <f t="shared" ref="N627:N633" si="867">VLOOKUP($A627,$A$4:$AX$132,14,FALSE)</f>
        <v>25305</v>
      </c>
      <c r="O627" s="10">
        <f t="shared" ref="O627:O633" si="868">VLOOKUP($A627,$A$4:$AX$132,15,FALSE)</f>
        <v>0</v>
      </c>
      <c r="P627" s="10">
        <f t="shared" ref="P627:P633" si="869">VLOOKUP($A627,$A$4:$AX$132,16,FALSE)</f>
        <v>25318</v>
      </c>
      <c r="Q627" s="10">
        <f t="shared" ref="Q627:Q633" si="870">VLOOKUP($A627,$A$4:$AX$132,17,FALSE)</f>
        <v>0</v>
      </c>
      <c r="R627" s="10" t="str">
        <f t="shared" ref="R627:R633" si="871">VLOOKUP($A627,$A$4:$AX$132,18,FALSE)</f>
        <v>Yes</v>
      </c>
      <c r="S627" s="10" t="str">
        <f t="shared" ref="S627:S633" si="872">VLOOKUP($A627,$A$4:$AX$132,19,FALSE)</f>
        <v>Albury Waste Management Centre</v>
      </c>
      <c r="T627" s="10">
        <f t="shared" ref="T627:T633" si="873">VLOOKUP($A627,$A$4:$AX$132,20,FALSE)</f>
        <v>0</v>
      </c>
      <c r="U627" s="10">
        <f t="shared" ref="U627:U633" si="874">VLOOKUP($A627,$A$4:$AX$132,21,FALSE)</f>
        <v>0</v>
      </c>
      <c r="V627" s="10">
        <f t="shared" ref="V627:V633" si="875">VLOOKUP($A627,$A$4:$AX$132,22,FALSE)</f>
        <v>0</v>
      </c>
      <c r="W627" s="10">
        <f t="shared" ref="W627:W633" si="876">VLOOKUP($A627,$A$4:$AX$132,23,FALSE)</f>
        <v>0</v>
      </c>
      <c r="X627" s="10">
        <f t="shared" ref="X627:X633" si="877">VLOOKUP($A627,$A$4:$AX$132,24,FALSE)</f>
        <v>0</v>
      </c>
      <c r="Y627" s="10">
        <f t="shared" ref="Y627:Y633" si="878">VLOOKUP($A627,$A$4:$AX$132,25,FALSE)</f>
        <v>0</v>
      </c>
      <c r="Z627" s="10">
        <f t="shared" ref="Z627:Z633" si="879">VLOOKUP($A627,$A$4:$AX$132,26,FALSE)</f>
        <v>0</v>
      </c>
      <c r="AA627" s="10">
        <f t="shared" ref="AA627:AA633" si="880">VLOOKUP($A627,$A$4:$AX$132,27,FALSE)</f>
        <v>0</v>
      </c>
      <c r="AB627" s="10">
        <f t="shared" ref="AB627:AB633" si="881">VLOOKUP($A627,$A$4:$AX$132,28,FALSE)</f>
        <v>0</v>
      </c>
      <c r="AC627" s="10">
        <f t="shared" ref="AC627:AC633" si="882">VLOOKUP($A627,$A$4:$AX$132,29,FALSE)</f>
        <v>0</v>
      </c>
      <c r="AD627" s="10">
        <f t="shared" ref="AD627:AD633" si="883">VLOOKUP($A627,$A$4:$AX$132,30,FALSE)</f>
        <v>0</v>
      </c>
      <c r="AE627" s="10">
        <f t="shared" ref="AE627:AE633" si="884">VLOOKUP($A627,$A$4:$AX$132,31,FALSE)</f>
        <v>0</v>
      </c>
      <c r="AF627" s="10">
        <f t="shared" ref="AF627:AF633" si="885">VLOOKUP($A627,$A$4:$AX$132,32,FALSE)</f>
        <v>0</v>
      </c>
      <c r="AG627" s="10">
        <f t="shared" ref="AG627:AG633" si="886">VLOOKUP($A627,$A$4:$AX$132,33,FALSE)</f>
        <v>0</v>
      </c>
      <c r="AH627" s="10">
        <f t="shared" ref="AH627:AH633" si="887">VLOOKUP($A627,$A$4:$AX$132,34,FALSE)</f>
        <v>0</v>
      </c>
      <c r="AI627" s="10">
        <f t="shared" ref="AI627:AI633" si="888">VLOOKUP($A627,$A$4:$AX$132,35,FALSE)</f>
        <v>0</v>
      </c>
      <c r="AJ627" s="10">
        <f t="shared" ref="AJ627:AJ633" si="889">VLOOKUP($A627,$A$4:$AX$132,36,FALSE)</f>
        <v>0</v>
      </c>
      <c r="AK627" s="10">
        <f t="shared" ref="AK627:AK633" si="890">VLOOKUP($A627,$A$4:$AX$132,37,FALSE)</f>
        <v>0</v>
      </c>
      <c r="AL627" s="10">
        <f t="shared" ref="AL627:AL633" si="891">VLOOKUP($A627,$A$4:$AX$132,38,FALSE)</f>
        <v>0</v>
      </c>
      <c r="AM627" s="10">
        <f t="shared" ref="AM627:AM633" si="892">VLOOKUP($A627,$A$4:$AX$132,39,FALSE)</f>
        <v>0</v>
      </c>
      <c r="AN627" s="46">
        <f t="shared" ref="AN627:AN633" si="893">VLOOKUP($A627,$A$4:$AX$132,40,FALSE)</f>
        <v>0</v>
      </c>
      <c r="AO627" s="10">
        <f t="shared" ref="AO627:AO633" si="894">VLOOKUP($A627,$A$4:$AX$132,41,FALSE)</f>
        <v>0</v>
      </c>
      <c r="AP627" s="10">
        <f t="shared" ref="AP627:AP633" si="895">VLOOKUP($A627,$A$4:$AX$132,42,FALSE)</f>
        <v>0</v>
      </c>
      <c r="AQ627" s="10">
        <f t="shared" ref="AQ627:AQ633" si="896">VLOOKUP($A627,$A$4:$AX$132,43,FALSE)</f>
        <v>0</v>
      </c>
      <c r="AR627" s="10">
        <f t="shared" ref="AR627:AR633" si="897">VLOOKUP($A627,$A$4:$AX$132,44,FALSE)</f>
        <v>0</v>
      </c>
      <c r="AS627" s="10">
        <f t="shared" ref="AS627:AS633" si="898">VLOOKUP($A627,$A$4:$AX$132,45,FALSE)</f>
        <v>0</v>
      </c>
      <c r="AT627" s="10">
        <f t="shared" ref="AT627:AT633" si="899">VLOOKUP($A627,$A$4:$AX$132,46,FALSE)</f>
        <v>0</v>
      </c>
      <c r="AU627" s="10">
        <f t="shared" ref="AU627:AU633" si="900">VLOOKUP($A627,$A$4:$AX$132,47,FALSE)</f>
        <v>0</v>
      </c>
      <c r="AV627" s="10">
        <f t="shared" ref="AV627:AV633" si="901">VLOOKUP($A627,$A$4:$AX$132,48,FALSE)</f>
        <v>0</v>
      </c>
      <c r="AW627" s="10">
        <f t="shared" ref="AW627:AW633" si="902">VLOOKUP($A627,$A$4:$AX$132,49,FALSE)</f>
        <v>0</v>
      </c>
      <c r="AX627" s="10">
        <f t="shared" ref="AX627:AX633" si="903">VLOOKUP($A627,$A$4:$AX$132,50,FALSE)</f>
        <v>0</v>
      </c>
    </row>
    <row r="628" spans="1:50" x14ac:dyDescent="0.2">
      <c r="A628" s="8">
        <v>10300</v>
      </c>
      <c r="B628" s="89" t="str">
        <f t="shared" si="855"/>
        <v>Balranald</v>
      </c>
      <c r="C628" s="9" t="str">
        <f t="shared" si="856"/>
        <v>RAMJO Murray</v>
      </c>
      <c r="D628" s="51" t="str">
        <f t="shared" si="857"/>
        <v>N</v>
      </c>
      <c r="E628" s="10" t="str">
        <f t="shared" si="858"/>
        <v>FSWJO</v>
      </c>
      <c r="F628" s="10">
        <f t="shared" si="859"/>
        <v>2306</v>
      </c>
      <c r="G628" s="10">
        <f t="shared" si="860"/>
        <v>1624</v>
      </c>
      <c r="H628" s="10">
        <f t="shared" si="861"/>
        <v>1.4199507389162562</v>
      </c>
      <c r="I628" s="10">
        <f t="shared" si="862"/>
        <v>21690.7</v>
      </c>
      <c r="J628" s="10">
        <f t="shared" si="863"/>
        <v>0.1</v>
      </c>
      <c r="K628" s="10">
        <f t="shared" si="864"/>
        <v>355</v>
      </c>
      <c r="L628" s="10" t="str">
        <f t="shared" si="865"/>
        <v>Y</v>
      </c>
      <c r="M628" s="10">
        <f t="shared" si="866"/>
        <v>721</v>
      </c>
      <c r="N628" s="10">
        <f t="shared" si="867"/>
        <v>0</v>
      </c>
      <c r="O628" s="10">
        <f t="shared" si="868"/>
        <v>0</v>
      </c>
      <c r="P628" s="10">
        <f t="shared" si="869"/>
        <v>0</v>
      </c>
      <c r="Q628" s="10">
        <f t="shared" si="870"/>
        <v>1624</v>
      </c>
      <c r="R628" s="10" t="str">
        <f t="shared" si="871"/>
        <v>No</v>
      </c>
      <c r="S628" s="10">
        <f t="shared" si="872"/>
        <v>0</v>
      </c>
      <c r="T628" s="10">
        <f t="shared" si="873"/>
        <v>0</v>
      </c>
      <c r="U628" s="10">
        <f t="shared" si="874"/>
        <v>0</v>
      </c>
      <c r="V628" s="10">
        <f t="shared" si="875"/>
        <v>0</v>
      </c>
      <c r="W628" s="10">
        <f t="shared" si="876"/>
        <v>0</v>
      </c>
      <c r="X628" s="10">
        <f t="shared" si="877"/>
        <v>0</v>
      </c>
      <c r="Y628" s="10">
        <f t="shared" si="878"/>
        <v>0</v>
      </c>
      <c r="Z628" s="10">
        <f t="shared" si="879"/>
        <v>0</v>
      </c>
      <c r="AA628" s="10">
        <f t="shared" si="880"/>
        <v>0</v>
      </c>
      <c r="AB628" s="10">
        <f t="shared" si="881"/>
        <v>0</v>
      </c>
      <c r="AC628" s="10">
        <f t="shared" si="882"/>
        <v>0</v>
      </c>
      <c r="AD628" s="10">
        <f t="shared" si="883"/>
        <v>0</v>
      </c>
      <c r="AE628" s="10">
        <f t="shared" si="884"/>
        <v>0</v>
      </c>
      <c r="AF628" s="10">
        <f t="shared" si="885"/>
        <v>0</v>
      </c>
      <c r="AG628" s="10">
        <f t="shared" si="886"/>
        <v>0</v>
      </c>
      <c r="AH628" s="10">
        <f t="shared" si="887"/>
        <v>0</v>
      </c>
      <c r="AI628" s="10">
        <f t="shared" si="888"/>
        <v>0</v>
      </c>
      <c r="AJ628" s="10">
        <f t="shared" si="889"/>
        <v>0</v>
      </c>
      <c r="AK628" s="10">
        <f t="shared" si="890"/>
        <v>0</v>
      </c>
      <c r="AL628" s="10">
        <f t="shared" si="891"/>
        <v>0</v>
      </c>
      <c r="AM628" s="10">
        <f t="shared" si="892"/>
        <v>0</v>
      </c>
      <c r="AN628" s="46">
        <f t="shared" si="893"/>
        <v>0</v>
      </c>
      <c r="AO628" s="10">
        <f t="shared" si="894"/>
        <v>0</v>
      </c>
      <c r="AP628" s="10">
        <f t="shared" si="895"/>
        <v>0</v>
      </c>
      <c r="AQ628" s="10">
        <f t="shared" si="896"/>
        <v>0</v>
      </c>
      <c r="AR628" s="10">
        <f t="shared" si="897"/>
        <v>0</v>
      </c>
      <c r="AS628" s="10">
        <f t="shared" si="898"/>
        <v>0</v>
      </c>
      <c r="AT628" s="10">
        <f t="shared" si="899"/>
        <v>0</v>
      </c>
      <c r="AU628" s="10">
        <f t="shared" si="900"/>
        <v>0</v>
      </c>
      <c r="AV628" s="10">
        <f t="shared" si="901"/>
        <v>0</v>
      </c>
      <c r="AW628" s="10">
        <f t="shared" si="902"/>
        <v>0</v>
      </c>
      <c r="AX628" s="10">
        <f t="shared" si="903"/>
        <v>0</v>
      </c>
    </row>
    <row r="629" spans="1:50" x14ac:dyDescent="0.2">
      <c r="A629" s="8">
        <v>10650</v>
      </c>
      <c r="B629" s="89" t="str">
        <f t="shared" si="855"/>
        <v>Berrigan</v>
      </c>
      <c r="C629" s="9" t="str">
        <f t="shared" si="856"/>
        <v>RAMJO Murray</v>
      </c>
      <c r="D629" s="51" t="str">
        <f t="shared" si="857"/>
        <v>N</v>
      </c>
      <c r="E629" s="10" t="str">
        <f t="shared" si="858"/>
        <v>RMJO</v>
      </c>
      <c r="F629" s="10">
        <f t="shared" si="859"/>
        <v>8784</v>
      </c>
      <c r="G629" s="10">
        <f t="shared" si="860"/>
        <v>5029</v>
      </c>
      <c r="H629" s="10">
        <f t="shared" si="861"/>
        <v>1.7466693179558561</v>
      </c>
      <c r="I629" s="10">
        <f t="shared" si="862"/>
        <v>2065.8000000000002</v>
      </c>
      <c r="J629" s="10">
        <f t="shared" si="863"/>
        <v>4.3</v>
      </c>
      <c r="K629" s="10">
        <f t="shared" si="864"/>
        <v>322</v>
      </c>
      <c r="L629" s="10" t="str">
        <f t="shared" si="865"/>
        <v>Y</v>
      </c>
      <c r="M629" s="10">
        <f t="shared" si="866"/>
        <v>4179</v>
      </c>
      <c r="N629" s="10">
        <f t="shared" si="867"/>
        <v>3630</v>
      </c>
      <c r="O629" s="10">
        <f t="shared" si="868"/>
        <v>0</v>
      </c>
      <c r="P629" s="10">
        <f t="shared" si="869"/>
        <v>0</v>
      </c>
      <c r="Q629" s="10">
        <f t="shared" si="870"/>
        <v>0</v>
      </c>
      <c r="R629" s="10" t="str">
        <f t="shared" si="871"/>
        <v>Yes</v>
      </c>
      <c r="S629" s="10" t="str">
        <f t="shared" si="872"/>
        <v>Berrigan Landfill</v>
      </c>
      <c r="T629" s="10" t="str">
        <f t="shared" si="873"/>
        <v>Tocumwal Transfer Station</v>
      </c>
      <c r="U629" s="10">
        <f t="shared" si="874"/>
        <v>0</v>
      </c>
      <c r="V629" s="10">
        <f t="shared" si="875"/>
        <v>0</v>
      </c>
      <c r="W629" s="10">
        <f t="shared" si="876"/>
        <v>0</v>
      </c>
      <c r="X629" s="10">
        <f t="shared" si="877"/>
        <v>0</v>
      </c>
      <c r="Y629" s="10">
        <f t="shared" si="878"/>
        <v>0</v>
      </c>
      <c r="Z629" s="10">
        <f t="shared" si="879"/>
        <v>0</v>
      </c>
      <c r="AA629" s="10">
        <f t="shared" si="880"/>
        <v>0</v>
      </c>
      <c r="AB629" s="10">
        <f t="shared" si="881"/>
        <v>0</v>
      </c>
      <c r="AC629" s="10">
        <f t="shared" si="882"/>
        <v>0</v>
      </c>
      <c r="AD629" s="10">
        <f t="shared" si="883"/>
        <v>0</v>
      </c>
      <c r="AE629" s="10">
        <f t="shared" si="884"/>
        <v>0</v>
      </c>
      <c r="AF629" s="10">
        <f t="shared" si="885"/>
        <v>0</v>
      </c>
      <c r="AG629" s="10">
        <f t="shared" si="886"/>
        <v>0</v>
      </c>
      <c r="AH629" s="10">
        <f t="shared" si="887"/>
        <v>0</v>
      </c>
      <c r="AI629" s="10">
        <f t="shared" si="888"/>
        <v>0</v>
      </c>
      <c r="AJ629" s="10">
        <f t="shared" si="889"/>
        <v>0</v>
      </c>
      <c r="AK629" s="10">
        <f t="shared" si="890"/>
        <v>0</v>
      </c>
      <c r="AL629" s="10">
        <f t="shared" si="891"/>
        <v>0</v>
      </c>
      <c r="AM629" s="10">
        <f t="shared" si="892"/>
        <v>0</v>
      </c>
      <c r="AN629" s="46">
        <f t="shared" si="893"/>
        <v>0</v>
      </c>
      <c r="AO629" s="10">
        <f t="shared" si="894"/>
        <v>0</v>
      </c>
      <c r="AP629" s="10">
        <f t="shared" si="895"/>
        <v>0</v>
      </c>
      <c r="AQ629" s="10">
        <f t="shared" si="896"/>
        <v>0</v>
      </c>
      <c r="AR629" s="10">
        <f t="shared" si="897"/>
        <v>0</v>
      </c>
      <c r="AS629" s="10">
        <f t="shared" si="898"/>
        <v>0</v>
      </c>
      <c r="AT629" s="10">
        <f t="shared" si="899"/>
        <v>0</v>
      </c>
      <c r="AU629" s="10">
        <f t="shared" si="900"/>
        <v>0</v>
      </c>
      <c r="AV629" s="10">
        <f t="shared" si="901"/>
        <v>0</v>
      </c>
      <c r="AW629" s="10">
        <f t="shared" si="902"/>
        <v>0</v>
      </c>
      <c r="AX629" s="10">
        <f t="shared" si="903"/>
        <v>0</v>
      </c>
    </row>
    <row r="630" spans="1:50" x14ac:dyDescent="0.2">
      <c r="A630" s="8">
        <v>12730</v>
      </c>
      <c r="B630" s="89" t="str">
        <f t="shared" si="855"/>
        <v>Edward River</v>
      </c>
      <c r="C630" s="9" t="str">
        <f t="shared" si="856"/>
        <v>RAMJO Murray</v>
      </c>
      <c r="D630" s="51" t="str">
        <f t="shared" si="857"/>
        <v>N</v>
      </c>
      <c r="E630" s="10" t="str">
        <f t="shared" si="858"/>
        <v>RMJO</v>
      </c>
      <c r="F630" s="10">
        <f t="shared" si="859"/>
        <v>9083</v>
      </c>
      <c r="G630" s="10">
        <f t="shared" si="860"/>
        <v>5003</v>
      </c>
      <c r="H630" s="10">
        <f t="shared" si="861"/>
        <v>1.8155106935838496</v>
      </c>
      <c r="I630" s="10">
        <f t="shared" si="862"/>
        <v>8883.4</v>
      </c>
      <c r="J630" s="10">
        <f t="shared" si="863"/>
        <v>1</v>
      </c>
      <c r="K630" s="10">
        <f t="shared" si="864"/>
        <v>374</v>
      </c>
      <c r="L630" s="10" t="str">
        <f t="shared" si="865"/>
        <v>Y</v>
      </c>
      <c r="M630" s="10">
        <f t="shared" si="866"/>
        <v>3521</v>
      </c>
      <c r="N630" s="10">
        <f t="shared" si="867"/>
        <v>0</v>
      </c>
      <c r="O630" s="10">
        <f t="shared" si="868"/>
        <v>0</v>
      </c>
      <c r="P630" s="10">
        <f t="shared" si="869"/>
        <v>0</v>
      </c>
      <c r="Q630" s="10">
        <f t="shared" si="870"/>
        <v>0</v>
      </c>
      <c r="R630" s="10" t="str">
        <f t="shared" si="871"/>
        <v>Yes</v>
      </c>
      <c r="S630" s="10" t="str">
        <f t="shared" si="872"/>
        <v xml:space="preserve">Deniliquin Waste Disposal Depot, Hay Rd, Deniliquin NSW 2710 </v>
      </c>
      <c r="T630" s="10" t="str">
        <f t="shared" si="873"/>
        <v>Blighty Landfill, 18744 Riverina Hwy, Blighty NSW 2710</v>
      </c>
      <c r="U630" s="10" t="str">
        <f t="shared" si="874"/>
        <v>Booroorban Landfill, Cobb Hwy Booroorbam NSW 2710</v>
      </c>
      <c r="V630" s="10" t="str">
        <f t="shared" si="875"/>
        <v>Conargo Landfill, Conargo Rd (McKenzie St) Conargo NSW 2710</v>
      </c>
      <c r="W630" s="10" t="str">
        <f t="shared" si="876"/>
        <v>Pretty Pine Landfill, Pretty Pine Rd, Pretty Pine NSW 2710</v>
      </c>
      <c r="X630" s="10" t="str">
        <f t="shared" si="877"/>
        <v>Wanganella Landfill, Wanganella Tip Rd, Wanganella NSW 2710</v>
      </c>
      <c r="Y630" s="10">
        <f t="shared" si="878"/>
        <v>0</v>
      </c>
      <c r="Z630" s="10">
        <f t="shared" si="879"/>
        <v>0</v>
      </c>
      <c r="AA630" s="10">
        <f t="shared" si="880"/>
        <v>0</v>
      </c>
      <c r="AB630" s="10">
        <f t="shared" si="881"/>
        <v>0</v>
      </c>
      <c r="AC630" s="10">
        <f t="shared" si="882"/>
        <v>0</v>
      </c>
      <c r="AD630" s="10">
        <f t="shared" si="883"/>
        <v>0</v>
      </c>
      <c r="AE630" s="10">
        <f t="shared" si="884"/>
        <v>0</v>
      </c>
      <c r="AF630" s="10">
        <f t="shared" si="885"/>
        <v>0</v>
      </c>
      <c r="AG630" s="10">
        <f t="shared" si="886"/>
        <v>0</v>
      </c>
      <c r="AH630" s="10">
        <f t="shared" si="887"/>
        <v>0</v>
      </c>
      <c r="AI630" s="10">
        <f t="shared" si="888"/>
        <v>0</v>
      </c>
      <c r="AJ630" s="10">
        <f t="shared" si="889"/>
        <v>0</v>
      </c>
      <c r="AK630" s="10">
        <f t="shared" si="890"/>
        <v>0</v>
      </c>
      <c r="AL630" s="10">
        <f t="shared" si="891"/>
        <v>0</v>
      </c>
      <c r="AM630" s="10">
        <f t="shared" si="892"/>
        <v>0</v>
      </c>
      <c r="AN630" s="46">
        <f t="shared" si="893"/>
        <v>0</v>
      </c>
      <c r="AO630" s="10">
        <f t="shared" si="894"/>
        <v>0</v>
      </c>
      <c r="AP630" s="10">
        <f t="shared" si="895"/>
        <v>0</v>
      </c>
      <c r="AQ630" s="10">
        <f t="shared" si="896"/>
        <v>0</v>
      </c>
      <c r="AR630" s="10">
        <f t="shared" si="897"/>
        <v>0</v>
      </c>
      <c r="AS630" s="10">
        <f t="shared" si="898"/>
        <v>0</v>
      </c>
      <c r="AT630" s="10">
        <f t="shared" si="899"/>
        <v>0</v>
      </c>
      <c r="AU630" s="10">
        <f t="shared" si="900"/>
        <v>0</v>
      </c>
      <c r="AV630" s="10">
        <f t="shared" si="901"/>
        <v>0</v>
      </c>
      <c r="AW630" s="10">
        <f t="shared" si="902"/>
        <v>0</v>
      </c>
      <c r="AX630" s="10">
        <f t="shared" si="903"/>
        <v>0</v>
      </c>
    </row>
    <row r="631" spans="1:50" x14ac:dyDescent="0.2">
      <c r="A631" s="8">
        <v>12870</v>
      </c>
      <c r="B631" s="89" t="str">
        <f t="shared" si="855"/>
        <v>Federation</v>
      </c>
      <c r="C631" s="9" t="str">
        <f t="shared" si="856"/>
        <v>RAMJO Murray</v>
      </c>
      <c r="D631" s="51" t="str">
        <f t="shared" si="857"/>
        <v>N</v>
      </c>
      <c r="E631" s="10" t="str">
        <f t="shared" si="858"/>
        <v>RMJO</v>
      </c>
      <c r="F631" s="10">
        <f t="shared" si="859"/>
        <v>12598</v>
      </c>
      <c r="G631" s="10">
        <f t="shared" si="860"/>
        <v>9078</v>
      </c>
      <c r="H631" s="10">
        <f t="shared" si="861"/>
        <v>1.3877506058603217</v>
      </c>
      <c r="I631" s="10">
        <f t="shared" si="862"/>
        <v>5685</v>
      </c>
      <c r="J631" s="10">
        <f t="shared" si="863"/>
        <v>2.2000000000000002</v>
      </c>
      <c r="K631" s="10">
        <f t="shared" si="864"/>
        <v>340</v>
      </c>
      <c r="L631" s="10" t="str">
        <f t="shared" si="865"/>
        <v>Y</v>
      </c>
      <c r="M631" s="10">
        <f t="shared" si="866"/>
        <v>5866</v>
      </c>
      <c r="N631" s="10">
        <f t="shared" si="867"/>
        <v>5451</v>
      </c>
      <c r="O631" s="10">
        <f t="shared" si="868"/>
        <v>0</v>
      </c>
      <c r="P631" s="10">
        <f t="shared" si="869"/>
        <v>5430</v>
      </c>
      <c r="Q631" s="10">
        <f t="shared" si="870"/>
        <v>0</v>
      </c>
      <c r="R631" s="10" t="str">
        <f t="shared" si="871"/>
        <v>Yes</v>
      </c>
      <c r="S631" s="10" t="str">
        <f t="shared" si="872"/>
        <v>Corowa Waste Management Centre, Riverina Highway</v>
      </c>
      <c r="T631" s="10" t="str">
        <f t="shared" si="873"/>
        <v>Mulwala Transfer Station, Old Barooga Road</v>
      </c>
      <c r="U631" s="10" t="str">
        <f t="shared" si="874"/>
        <v>Howlong Waste Management Centre, Goombargana Rd</v>
      </c>
      <c r="V631" s="10" t="str">
        <f t="shared" si="875"/>
        <v>Urana Landfill, Boree Creek Road, Urana</v>
      </c>
      <c r="W631" s="10" t="str">
        <f t="shared" si="876"/>
        <v>Oaklands Landfill, Maxwelton Road, Oaklands</v>
      </c>
      <c r="X631" s="10" t="str">
        <f t="shared" si="877"/>
        <v>Community Recycling Centre - Corowa Depot</v>
      </c>
      <c r="Y631" s="10" t="str">
        <f t="shared" si="878"/>
        <v>Community Recycling Centre - Urana Waste Disposal</v>
      </c>
      <c r="Z631" s="10">
        <f t="shared" si="879"/>
        <v>0</v>
      </c>
      <c r="AA631" s="10">
        <f t="shared" si="880"/>
        <v>0</v>
      </c>
      <c r="AB631" s="10">
        <f t="shared" si="881"/>
        <v>0</v>
      </c>
      <c r="AC631" s="10">
        <f t="shared" si="882"/>
        <v>0</v>
      </c>
      <c r="AD631" s="10">
        <f t="shared" si="883"/>
        <v>0</v>
      </c>
      <c r="AE631" s="10">
        <f t="shared" si="884"/>
        <v>0</v>
      </c>
      <c r="AF631" s="10">
        <f t="shared" si="885"/>
        <v>0</v>
      </c>
      <c r="AG631" s="10">
        <f t="shared" si="886"/>
        <v>0</v>
      </c>
      <c r="AH631" s="10">
        <f t="shared" si="887"/>
        <v>0</v>
      </c>
      <c r="AI631" s="10">
        <f t="shared" si="888"/>
        <v>0</v>
      </c>
      <c r="AJ631" s="10">
        <f t="shared" si="889"/>
        <v>0</v>
      </c>
      <c r="AK631" s="10">
        <f t="shared" si="890"/>
        <v>0</v>
      </c>
      <c r="AL631" s="10">
        <f t="shared" si="891"/>
        <v>0</v>
      </c>
      <c r="AM631" s="10">
        <f t="shared" si="892"/>
        <v>0</v>
      </c>
      <c r="AN631" s="46">
        <f t="shared" si="893"/>
        <v>0</v>
      </c>
      <c r="AO631" s="10">
        <f t="shared" si="894"/>
        <v>0</v>
      </c>
      <c r="AP631" s="10">
        <f t="shared" si="895"/>
        <v>0</v>
      </c>
      <c r="AQ631" s="10">
        <f t="shared" si="896"/>
        <v>0</v>
      </c>
      <c r="AR631" s="10">
        <f t="shared" si="897"/>
        <v>0</v>
      </c>
      <c r="AS631" s="10">
        <f t="shared" si="898"/>
        <v>0</v>
      </c>
      <c r="AT631" s="10">
        <f t="shared" si="899"/>
        <v>0</v>
      </c>
      <c r="AU631" s="10">
        <f t="shared" si="900"/>
        <v>0</v>
      </c>
      <c r="AV631" s="10">
        <f t="shared" si="901"/>
        <v>0</v>
      </c>
      <c r="AW631" s="10">
        <f t="shared" si="902"/>
        <v>0</v>
      </c>
      <c r="AX631" s="10">
        <f t="shared" si="903"/>
        <v>0</v>
      </c>
    </row>
    <row r="632" spans="1:50" x14ac:dyDescent="0.2">
      <c r="A632" s="8">
        <v>15520</v>
      </c>
      <c r="B632" s="89" t="str">
        <f t="shared" si="855"/>
        <v>Murray River</v>
      </c>
      <c r="C632" s="9" t="str">
        <f t="shared" si="856"/>
        <v>RAMJO Murray</v>
      </c>
      <c r="D632" s="51" t="str">
        <f t="shared" si="857"/>
        <v>N</v>
      </c>
      <c r="E632" s="10" t="str">
        <f t="shared" si="858"/>
        <v>RMJO</v>
      </c>
      <c r="F632" s="10">
        <f t="shared" si="859"/>
        <v>12330</v>
      </c>
      <c r="G632" s="10">
        <f t="shared" si="860"/>
        <v>8982</v>
      </c>
      <c r="H632" s="10">
        <f t="shared" si="861"/>
        <v>1.3727454909819639</v>
      </c>
      <c r="I632" s="10">
        <f t="shared" si="862"/>
        <v>11863.5</v>
      </c>
      <c r="J632" s="10">
        <f t="shared" si="863"/>
        <v>1</v>
      </c>
      <c r="K632" s="10">
        <f t="shared" si="864"/>
        <v>363.52</v>
      </c>
      <c r="L632" s="10" t="str">
        <f t="shared" si="865"/>
        <v>Y</v>
      </c>
      <c r="M632" s="10">
        <f t="shared" si="866"/>
        <v>5427</v>
      </c>
      <c r="N632" s="10">
        <f t="shared" si="867"/>
        <v>5271</v>
      </c>
      <c r="O632" s="10">
        <f t="shared" si="868"/>
        <v>2581</v>
      </c>
      <c r="P632" s="10">
        <f t="shared" si="869"/>
        <v>0</v>
      </c>
      <c r="Q632" s="10">
        <f t="shared" si="870"/>
        <v>0</v>
      </c>
      <c r="R632" s="10" t="str">
        <f t="shared" si="871"/>
        <v>Yes</v>
      </c>
      <c r="S632" s="10" t="str">
        <f t="shared" si="872"/>
        <v>Moama Waste Management facility</v>
      </c>
      <c r="T632" s="10" t="str">
        <f t="shared" si="873"/>
        <v>Goodnight TS</v>
      </c>
      <c r="U632" s="10" t="str">
        <f t="shared" si="874"/>
        <v>Koraleigh Landfill</v>
      </c>
      <c r="V632" s="10" t="str">
        <f t="shared" si="875"/>
        <v>Moulamein Landfill</v>
      </c>
      <c r="W632" s="10" t="str">
        <f t="shared" si="876"/>
        <v>Wakool Landfill</v>
      </c>
      <c r="X632" s="10" t="str">
        <f t="shared" si="877"/>
        <v>Barham TS</v>
      </c>
      <c r="Y632" s="10" t="str">
        <f t="shared" si="878"/>
        <v>Mathoura TS</v>
      </c>
      <c r="Z632" s="10">
        <f t="shared" si="879"/>
        <v>0</v>
      </c>
      <c r="AA632" s="10">
        <f t="shared" si="880"/>
        <v>0</v>
      </c>
      <c r="AB632" s="10">
        <f t="shared" si="881"/>
        <v>0</v>
      </c>
      <c r="AC632" s="10">
        <f t="shared" si="882"/>
        <v>0</v>
      </c>
      <c r="AD632" s="10">
        <f t="shared" si="883"/>
        <v>0</v>
      </c>
      <c r="AE632" s="10">
        <f t="shared" si="884"/>
        <v>0</v>
      </c>
      <c r="AF632" s="10">
        <f t="shared" si="885"/>
        <v>0</v>
      </c>
      <c r="AG632" s="10">
        <f t="shared" si="886"/>
        <v>0</v>
      </c>
      <c r="AH632" s="10">
        <f t="shared" si="887"/>
        <v>0</v>
      </c>
      <c r="AI632" s="10">
        <f t="shared" si="888"/>
        <v>0</v>
      </c>
      <c r="AJ632" s="10">
        <f t="shared" si="889"/>
        <v>0</v>
      </c>
      <c r="AK632" s="10">
        <f t="shared" si="890"/>
        <v>0</v>
      </c>
      <c r="AL632" s="10">
        <f t="shared" si="891"/>
        <v>0</v>
      </c>
      <c r="AM632" s="10">
        <f t="shared" si="892"/>
        <v>0</v>
      </c>
      <c r="AN632" s="46">
        <f t="shared" si="893"/>
        <v>0</v>
      </c>
      <c r="AO632" s="10">
        <f t="shared" si="894"/>
        <v>0</v>
      </c>
      <c r="AP632" s="10">
        <f t="shared" si="895"/>
        <v>0</v>
      </c>
      <c r="AQ632" s="10">
        <f t="shared" si="896"/>
        <v>0</v>
      </c>
      <c r="AR632" s="10">
        <f t="shared" si="897"/>
        <v>0</v>
      </c>
      <c r="AS632" s="10">
        <f t="shared" si="898"/>
        <v>0</v>
      </c>
      <c r="AT632" s="10">
        <f t="shared" si="899"/>
        <v>0</v>
      </c>
      <c r="AU632" s="10">
        <f t="shared" si="900"/>
        <v>0</v>
      </c>
      <c r="AV632" s="10">
        <f t="shared" si="901"/>
        <v>0</v>
      </c>
      <c r="AW632" s="10">
        <f t="shared" si="902"/>
        <v>0</v>
      </c>
      <c r="AX632" s="10">
        <f t="shared" si="903"/>
        <v>0</v>
      </c>
    </row>
    <row r="633" spans="1:50" ht="13.5" thickBot="1" x14ac:dyDescent="0.25">
      <c r="A633" s="8">
        <v>18200</v>
      </c>
      <c r="B633" s="89" t="str">
        <f t="shared" si="855"/>
        <v>Wentworth</v>
      </c>
      <c r="C633" s="9" t="str">
        <f t="shared" si="856"/>
        <v>RAMJO Murray</v>
      </c>
      <c r="D633" s="51" t="str">
        <f t="shared" si="857"/>
        <v>N</v>
      </c>
      <c r="E633" s="10" t="str">
        <f t="shared" si="858"/>
        <v>FSWJO</v>
      </c>
      <c r="F633" s="10">
        <f t="shared" si="859"/>
        <v>7090</v>
      </c>
      <c r="G633" s="10">
        <f t="shared" si="860"/>
        <v>2913</v>
      </c>
      <c r="H633" s="10">
        <f t="shared" si="861"/>
        <v>2.4339169241331962</v>
      </c>
      <c r="I633" s="10">
        <f t="shared" si="862"/>
        <v>26256.2</v>
      </c>
      <c r="J633" s="10">
        <f t="shared" si="863"/>
        <v>0.3</v>
      </c>
      <c r="K633" s="10">
        <f t="shared" si="864"/>
        <v>295</v>
      </c>
      <c r="L633" s="10" t="str">
        <f t="shared" si="865"/>
        <v>Y</v>
      </c>
      <c r="M633" s="10">
        <f t="shared" si="866"/>
        <v>2530</v>
      </c>
      <c r="N633" s="10">
        <f t="shared" si="867"/>
        <v>0</v>
      </c>
      <c r="O633" s="10">
        <f t="shared" si="868"/>
        <v>0</v>
      </c>
      <c r="P633" s="10">
        <f t="shared" si="869"/>
        <v>0</v>
      </c>
      <c r="Q633" s="10">
        <f t="shared" si="870"/>
        <v>2913</v>
      </c>
      <c r="R633" s="10" t="str">
        <f t="shared" si="871"/>
        <v>Yes</v>
      </c>
      <c r="S633" s="10">
        <f t="shared" si="872"/>
        <v>0</v>
      </c>
      <c r="T633" s="10">
        <f t="shared" si="873"/>
        <v>0</v>
      </c>
      <c r="U633" s="10">
        <f t="shared" si="874"/>
        <v>0</v>
      </c>
      <c r="V633" s="10">
        <f t="shared" si="875"/>
        <v>0</v>
      </c>
      <c r="W633" s="10">
        <f t="shared" si="876"/>
        <v>0</v>
      </c>
      <c r="X633" s="10">
        <f t="shared" si="877"/>
        <v>0</v>
      </c>
      <c r="Y633" s="10">
        <f t="shared" si="878"/>
        <v>0</v>
      </c>
      <c r="Z633" s="10">
        <f t="shared" si="879"/>
        <v>0</v>
      </c>
      <c r="AA633" s="10">
        <f t="shared" si="880"/>
        <v>0</v>
      </c>
      <c r="AB633" s="10">
        <f t="shared" si="881"/>
        <v>0</v>
      </c>
      <c r="AC633" s="10">
        <f t="shared" si="882"/>
        <v>0</v>
      </c>
      <c r="AD633" s="10">
        <f t="shared" si="883"/>
        <v>0</v>
      </c>
      <c r="AE633" s="10">
        <f t="shared" si="884"/>
        <v>0</v>
      </c>
      <c r="AF633" s="10">
        <f t="shared" si="885"/>
        <v>0</v>
      </c>
      <c r="AG633" s="10">
        <f t="shared" si="886"/>
        <v>0</v>
      </c>
      <c r="AH633" s="10">
        <f t="shared" si="887"/>
        <v>0</v>
      </c>
      <c r="AI633" s="10">
        <f t="shared" si="888"/>
        <v>0</v>
      </c>
      <c r="AJ633" s="10">
        <f t="shared" si="889"/>
        <v>0</v>
      </c>
      <c r="AK633" s="10">
        <f t="shared" si="890"/>
        <v>0</v>
      </c>
      <c r="AL633" s="10">
        <f t="shared" si="891"/>
        <v>0</v>
      </c>
      <c r="AM633" s="10">
        <f t="shared" si="892"/>
        <v>0</v>
      </c>
      <c r="AN633" s="46">
        <f t="shared" si="893"/>
        <v>0</v>
      </c>
      <c r="AO633" s="10">
        <f t="shared" si="894"/>
        <v>0</v>
      </c>
      <c r="AP633" s="10">
        <f t="shared" si="895"/>
        <v>0</v>
      </c>
      <c r="AQ633" s="10">
        <f t="shared" si="896"/>
        <v>0</v>
      </c>
      <c r="AR633" s="10">
        <f t="shared" si="897"/>
        <v>0</v>
      </c>
      <c r="AS633" s="10">
        <f t="shared" si="898"/>
        <v>0</v>
      </c>
      <c r="AT633" s="10">
        <f t="shared" si="899"/>
        <v>0</v>
      </c>
      <c r="AU633" s="10">
        <f t="shared" si="900"/>
        <v>0</v>
      </c>
      <c r="AV633" s="10">
        <f t="shared" si="901"/>
        <v>0</v>
      </c>
      <c r="AW633" s="10">
        <f t="shared" si="902"/>
        <v>0</v>
      </c>
      <c r="AX633" s="10">
        <f t="shared" si="903"/>
        <v>0</v>
      </c>
    </row>
    <row r="634" spans="1:50" ht="13.5" thickTop="1" x14ac:dyDescent="0.2">
      <c r="A634" s="11"/>
      <c r="B634" s="11"/>
      <c r="C634" s="11" t="s">
        <v>30</v>
      </c>
      <c r="D634" s="11"/>
      <c r="E634" s="12"/>
      <c r="F634" s="13">
        <f t="shared" ref="F634:AX634" si="904">COUNTIF(F627:F633,"&gt;0")</f>
        <v>7</v>
      </c>
      <c r="G634" s="13">
        <f t="shared" si="904"/>
        <v>7</v>
      </c>
      <c r="H634" s="13">
        <f t="shared" si="904"/>
        <v>7</v>
      </c>
      <c r="I634" s="13">
        <f t="shared" si="904"/>
        <v>7</v>
      </c>
      <c r="J634" s="13">
        <f t="shared" si="904"/>
        <v>7</v>
      </c>
      <c r="K634" s="13">
        <f t="shared" si="904"/>
        <v>7</v>
      </c>
      <c r="L634" s="13">
        <f t="shared" si="904"/>
        <v>0</v>
      </c>
      <c r="M634" s="13">
        <f t="shared" si="904"/>
        <v>7</v>
      </c>
      <c r="N634" s="13">
        <f t="shared" si="904"/>
        <v>4</v>
      </c>
      <c r="O634" s="13">
        <f t="shared" si="904"/>
        <v>1</v>
      </c>
      <c r="P634" s="13">
        <f t="shared" si="904"/>
        <v>2</v>
      </c>
      <c r="Q634" s="13">
        <f t="shared" si="904"/>
        <v>2</v>
      </c>
      <c r="R634" s="13">
        <f t="shared" si="904"/>
        <v>0</v>
      </c>
      <c r="S634" s="13">
        <f t="shared" si="904"/>
        <v>0</v>
      </c>
      <c r="T634" s="13">
        <f t="shared" si="904"/>
        <v>0</v>
      </c>
      <c r="U634" s="13">
        <f t="shared" si="904"/>
        <v>0</v>
      </c>
      <c r="V634" s="13">
        <f t="shared" si="904"/>
        <v>0</v>
      </c>
      <c r="W634" s="13">
        <f t="shared" si="904"/>
        <v>0</v>
      </c>
      <c r="X634" s="13">
        <f t="shared" si="904"/>
        <v>0</v>
      </c>
      <c r="Y634" s="13">
        <f t="shared" si="904"/>
        <v>0</v>
      </c>
      <c r="Z634" s="13">
        <f t="shared" si="904"/>
        <v>0</v>
      </c>
      <c r="AA634" s="13">
        <f t="shared" si="904"/>
        <v>0</v>
      </c>
      <c r="AB634" s="13">
        <f t="shared" si="904"/>
        <v>0</v>
      </c>
      <c r="AC634" s="13">
        <f t="shared" si="904"/>
        <v>0</v>
      </c>
      <c r="AD634" s="13">
        <f t="shared" si="904"/>
        <v>0</v>
      </c>
      <c r="AE634" s="13">
        <f t="shared" si="904"/>
        <v>0</v>
      </c>
      <c r="AF634" s="13">
        <f t="shared" si="904"/>
        <v>0</v>
      </c>
      <c r="AG634" s="13">
        <f t="shared" si="904"/>
        <v>0</v>
      </c>
      <c r="AH634" s="13">
        <f t="shared" si="904"/>
        <v>0</v>
      </c>
      <c r="AI634" s="13">
        <f t="shared" si="904"/>
        <v>0</v>
      </c>
      <c r="AJ634" s="13">
        <f t="shared" si="904"/>
        <v>0</v>
      </c>
      <c r="AK634" s="13">
        <f t="shared" si="904"/>
        <v>0</v>
      </c>
      <c r="AL634" s="13">
        <f t="shared" si="904"/>
        <v>0</v>
      </c>
      <c r="AM634" s="44">
        <f t="shared" si="904"/>
        <v>0</v>
      </c>
      <c r="AN634" s="13">
        <f t="shared" si="904"/>
        <v>0</v>
      </c>
      <c r="AO634" s="13">
        <f t="shared" si="904"/>
        <v>0</v>
      </c>
      <c r="AP634" s="13">
        <f t="shared" si="904"/>
        <v>0</v>
      </c>
      <c r="AQ634" s="13">
        <f t="shared" si="904"/>
        <v>0</v>
      </c>
      <c r="AR634" s="13">
        <f t="shared" si="904"/>
        <v>0</v>
      </c>
      <c r="AS634" s="13">
        <f t="shared" si="904"/>
        <v>0</v>
      </c>
      <c r="AT634" s="13">
        <f t="shared" si="904"/>
        <v>0</v>
      </c>
      <c r="AU634" s="13">
        <f t="shared" si="904"/>
        <v>0</v>
      </c>
      <c r="AV634" s="13">
        <f t="shared" si="904"/>
        <v>0</v>
      </c>
      <c r="AW634" s="13">
        <f t="shared" si="904"/>
        <v>0</v>
      </c>
      <c r="AX634" s="13">
        <f t="shared" si="904"/>
        <v>0</v>
      </c>
    </row>
    <row r="635" spans="1:50" x14ac:dyDescent="0.2">
      <c r="A635" s="8"/>
      <c r="B635" s="8"/>
      <c r="C635" s="8" t="s">
        <v>31</v>
      </c>
      <c r="D635" s="8"/>
      <c r="E635" s="80"/>
      <c r="F635" s="15">
        <f>SUM(F627:F633)</f>
        <v>107246</v>
      </c>
      <c r="G635" s="15">
        <f>SUM(G627:G633)</f>
        <v>57947</v>
      </c>
      <c r="H635" s="110">
        <f>F635/G635</f>
        <v>1.8507601774034894</v>
      </c>
      <c r="I635" s="15">
        <f t="shared" ref="I635:AX635" si="905">SUM(I627:I633)</f>
        <v>76750.5</v>
      </c>
      <c r="J635" s="15">
        <f t="shared" si="905"/>
        <v>188.9</v>
      </c>
      <c r="K635" s="15">
        <f t="shared" si="905"/>
        <v>2299.52</v>
      </c>
      <c r="L635" s="15">
        <f t="shared" si="905"/>
        <v>0</v>
      </c>
      <c r="M635" s="15">
        <f t="shared" si="905"/>
        <v>46288</v>
      </c>
      <c r="N635" s="15">
        <f t="shared" si="905"/>
        <v>39657</v>
      </c>
      <c r="O635" s="15">
        <f t="shared" si="905"/>
        <v>2581</v>
      </c>
      <c r="P635" s="15">
        <f t="shared" si="905"/>
        <v>30748</v>
      </c>
      <c r="Q635" s="15">
        <f t="shared" si="905"/>
        <v>4537</v>
      </c>
      <c r="R635" s="15">
        <f t="shared" si="905"/>
        <v>0</v>
      </c>
      <c r="S635" s="15">
        <f t="shared" si="905"/>
        <v>0</v>
      </c>
      <c r="T635" s="15">
        <f t="shared" si="905"/>
        <v>0</v>
      </c>
      <c r="U635" s="15">
        <f t="shared" si="905"/>
        <v>0</v>
      </c>
      <c r="V635" s="15">
        <f t="shared" si="905"/>
        <v>0</v>
      </c>
      <c r="W635" s="15">
        <f t="shared" si="905"/>
        <v>0</v>
      </c>
      <c r="X635" s="15">
        <f t="shared" si="905"/>
        <v>0</v>
      </c>
      <c r="Y635" s="15">
        <f t="shared" si="905"/>
        <v>0</v>
      </c>
      <c r="Z635" s="15">
        <f t="shared" si="905"/>
        <v>0</v>
      </c>
      <c r="AA635" s="15">
        <f t="shared" si="905"/>
        <v>0</v>
      </c>
      <c r="AB635" s="15">
        <f t="shared" si="905"/>
        <v>0</v>
      </c>
      <c r="AC635" s="15">
        <f t="shared" si="905"/>
        <v>0</v>
      </c>
      <c r="AD635" s="15">
        <f t="shared" si="905"/>
        <v>0</v>
      </c>
      <c r="AE635" s="15">
        <f t="shared" si="905"/>
        <v>0</v>
      </c>
      <c r="AF635" s="15">
        <f t="shared" si="905"/>
        <v>0</v>
      </c>
      <c r="AG635" s="15">
        <f t="shared" si="905"/>
        <v>0</v>
      </c>
      <c r="AH635" s="15">
        <f t="shared" si="905"/>
        <v>0</v>
      </c>
      <c r="AI635" s="15">
        <f t="shared" si="905"/>
        <v>0</v>
      </c>
      <c r="AJ635" s="15">
        <f t="shared" si="905"/>
        <v>0</v>
      </c>
      <c r="AK635" s="15">
        <f t="shared" si="905"/>
        <v>0</v>
      </c>
      <c r="AL635" s="15">
        <f t="shared" si="905"/>
        <v>0</v>
      </c>
      <c r="AM635" s="45">
        <f t="shared" si="905"/>
        <v>0</v>
      </c>
      <c r="AN635" s="15">
        <f t="shared" si="905"/>
        <v>0</v>
      </c>
      <c r="AO635" s="15">
        <f t="shared" si="905"/>
        <v>0</v>
      </c>
      <c r="AP635" s="15">
        <f t="shared" si="905"/>
        <v>0</v>
      </c>
      <c r="AQ635" s="15">
        <f t="shared" si="905"/>
        <v>0</v>
      </c>
      <c r="AR635" s="15">
        <f t="shared" si="905"/>
        <v>0</v>
      </c>
      <c r="AS635" s="15">
        <f t="shared" si="905"/>
        <v>0</v>
      </c>
      <c r="AT635" s="15">
        <f t="shared" si="905"/>
        <v>0</v>
      </c>
      <c r="AU635" s="15">
        <f t="shared" si="905"/>
        <v>0</v>
      </c>
      <c r="AV635" s="15">
        <f t="shared" si="905"/>
        <v>0</v>
      </c>
      <c r="AW635" s="15">
        <f t="shared" si="905"/>
        <v>0</v>
      </c>
      <c r="AX635" s="15">
        <f t="shared" si="905"/>
        <v>0</v>
      </c>
    </row>
    <row r="636" spans="1:50" x14ac:dyDescent="0.2">
      <c r="A636" s="8"/>
      <c r="B636" s="8"/>
      <c r="C636" s="8" t="s">
        <v>32</v>
      </c>
      <c r="D636" s="8"/>
      <c r="E636" s="80"/>
      <c r="F636" s="10">
        <f t="shared" ref="F636:AX636" si="906">MIN(F627:F633)</f>
        <v>2306</v>
      </c>
      <c r="G636" s="10">
        <f t="shared" si="906"/>
        <v>1624</v>
      </c>
      <c r="H636" s="10">
        <f t="shared" si="906"/>
        <v>1.3727454909819639</v>
      </c>
      <c r="I636" s="10">
        <f t="shared" si="906"/>
        <v>305.89999999999998</v>
      </c>
      <c r="J636" s="10">
        <f t="shared" si="906"/>
        <v>0.1</v>
      </c>
      <c r="K636" s="10">
        <f t="shared" si="906"/>
        <v>250</v>
      </c>
      <c r="L636" s="10">
        <f t="shared" si="906"/>
        <v>0</v>
      </c>
      <c r="M636" s="10">
        <f t="shared" si="906"/>
        <v>721</v>
      </c>
      <c r="N636" s="10">
        <f t="shared" si="906"/>
        <v>0</v>
      </c>
      <c r="O636" s="10">
        <f t="shared" si="906"/>
        <v>0</v>
      </c>
      <c r="P636" s="10">
        <f t="shared" si="906"/>
        <v>0</v>
      </c>
      <c r="Q636" s="10">
        <f t="shared" si="906"/>
        <v>0</v>
      </c>
      <c r="R636" s="10">
        <f t="shared" si="906"/>
        <v>0</v>
      </c>
      <c r="S636" s="10">
        <f t="shared" si="906"/>
        <v>0</v>
      </c>
      <c r="T636" s="10">
        <f t="shared" si="906"/>
        <v>0</v>
      </c>
      <c r="U636" s="10">
        <f t="shared" si="906"/>
        <v>0</v>
      </c>
      <c r="V636" s="10">
        <f t="shared" si="906"/>
        <v>0</v>
      </c>
      <c r="W636" s="10">
        <f t="shared" si="906"/>
        <v>0</v>
      </c>
      <c r="X636" s="10">
        <f t="shared" si="906"/>
        <v>0</v>
      </c>
      <c r="Y636" s="10">
        <f t="shared" si="906"/>
        <v>0</v>
      </c>
      <c r="Z636" s="10">
        <f t="shared" si="906"/>
        <v>0</v>
      </c>
      <c r="AA636" s="10">
        <f t="shared" si="906"/>
        <v>0</v>
      </c>
      <c r="AB636" s="10">
        <f t="shared" si="906"/>
        <v>0</v>
      </c>
      <c r="AC636" s="10">
        <f t="shared" si="906"/>
        <v>0</v>
      </c>
      <c r="AD636" s="10">
        <f t="shared" si="906"/>
        <v>0</v>
      </c>
      <c r="AE636" s="10">
        <f t="shared" si="906"/>
        <v>0</v>
      </c>
      <c r="AF636" s="10">
        <f t="shared" si="906"/>
        <v>0</v>
      </c>
      <c r="AG636" s="10">
        <f t="shared" si="906"/>
        <v>0</v>
      </c>
      <c r="AH636" s="10">
        <f t="shared" si="906"/>
        <v>0</v>
      </c>
      <c r="AI636" s="10">
        <f t="shared" si="906"/>
        <v>0</v>
      </c>
      <c r="AJ636" s="10">
        <f t="shared" si="906"/>
        <v>0</v>
      </c>
      <c r="AK636" s="10">
        <f t="shared" si="906"/>
        <v>0</v>
      </c>
      <c r="AL636" s="10">
        <f t="shared" si="906"/>
        <v>0</v>
      </c>
      <c r="AM636" s="46">
        <f t="shared" si="906"/>
        <v>0</v>
      </c>
      <c r="AN636" s="10">
        <f t="shared" si="906"/>
        <v>0</v>
      </c>
      <c r="AO636" s="10">
        <f t="shared" si="906"/>
        <v>0</v>
      </c>
      <c r="AP636" s="10">
        <f t="shared" si="906"/>
        <v>0</v>
      </c>
      <c r="AQ636" s="10">
        <f t="shared" si="906"/>
        <v>0</v>
      </c>
      <c r="AR636" s="10">
        <f t="shared" si="906"/>
        <v>0</v>
      </c>
      <c r="AS636" s="10">
        <f t="shared" si="906"/>
        <v>0</v>
      </c>
      <c r="AT636" s="10">
        <f t="shared" si="906"/>
        <v>0</v>
      </c>
      <c r="AU636" s="10">
        <f t="shared" si="906"/>
        <v>0</v>
      </c>
      <c r="AV636" s="10">
        <f t="shared" si="906"/>
        <v>0</v>
      </c>
      <c r="AW636" s="10">
        <f t="shared" si="906"/>
        <v>0</v>
      </c>
      <c r="AX636" s="10">
        <f t="shared" si="906"/>
        <v>0</v>
      </c>
    </row>
    <row r="637" spans="1:50" x14ac:dyDescent="0.2">
      <c r="A637" s="8"/>
      <c r="B637" s="8"/>
      <c r="C637" s="8" t="s">
        <v>33</v>
      </c>
      <c r="D637" s="8"/>
      <c r="E637" s="80"/>
      <c r="F637" s="10">
        <f t="shared" ref="F637:AX637" si="907">MAX(F627:F633)</f>
        <v>55055</v>
      </c>
      <c r="G637" s="10">
        <f t="shared" si="907"/>
        <v>25318</v>
      </c>
      <c r="H637" s="10">
        <f t="shared" si="907"/>
        <v>2.4339169241331962</v>
      </c>
      <c r="I637" s="10">
        <f t="shared" si="907"/>
        <v>26256.2</v>
      </c>
      <c r="J637" s="10">
        <f t="shared" si="907"/>
        <v>180</v>
      </c>
      <c r="K637" s="10">
        <f t="shared" si="907"/>
        <v>374</v>
      </c>
      <c r="L637" s="10">
        <f t="shared" si="907"/>
        <v>0</v>
      </c>
      <c r="M637" s="10">
        <f t="shared" si="907"/>
        <v>24044</v>
      </c>
      <c r="N637" s="10">
        <f t="shared" si="907"/>
        <v>25305</v>
      </c>
      <c r="O637" s="10">
        <f t="shared" si="907"/>
        <v>2581</v>
      </c>
      <c r="P637" s="10">
        <f t="shared" si="907"/>
        <v>25318</v>
      </c>
      <c r="Q637" s="10">
        <f t="shared" si="907"/>
        <v>2913</v>
      </c>
      <c r="R637" s="10">
        <f t="shared" si="907"/>
        <v>0</v>
      </c>
      <c r="S637" s="10">
        <f t="shared" si="907"/>
        <v>0</v>
      </c>
      <c r="T637" s="10">
        <f t="shared" si="907"/>
        <v>0</v>
      </c>
      <c r="U637" s="10">
        <f t="shared" si="907"/>
        <v>0</v>
      </c>
      <c r="V637" s="10">
        <f t="shared" si="907"/>
        <v>0</v>
      </c>
      <c r="W637" s="10">
        <f t="shared" si="907"/>
        <v>0</v>
      </c>
      <c r="X637" s="10">
        <f t="shared" si="907"/>
        <v>0</v>
      </c>
      <c r="Y637" s="10">
        <f t="shared" si="907"/>
        <v>0</v>
      </c>
      <c r="Z637" s="10">
        <f t="shared" si="907"/>
        <v>0</v>
      </c>
      <c r="AA637" s="10">
        <f t="shared" si="907"/>
        <v>0</v>
      </c>
      <c r="AB637" s="10">
        <f t="shared" si="907"/>
        <v>0</v>
      </c>
      <c r="AC637" s="10">
        <f t="shared" si="907"/>
        <v>0</v>
      </c>
      <c r="AD637" s="10">
        <f t="shared" si="907"/>
        <v>0</v>
      </c>
      <c r="AE637" s="10">
        <f t="shared" si="907"/>
        <v>0</v>
      </c>
      <c r="AF637" s="10">
        <f t="shared" si="907"/>
        <v>0</v>
      </c>
      <c r="AG637" s="10">
        <f t="shared" si="907"/>
        <v>0</v>
      </c>
      <c r="AH637" s="10">
        <f t="shared" si="907"/>
        <v>0</v>
      </c>
      <c r="AI637" s="10">
        <f t="shared" si="907"/>
        <v>0</v>
      </c>
      <c r="AJ637" s="10">
        <f t="shared" si="907"/>
        <v>0</v>
      </c>
      <c r="AK637" s="10">
        <f t="shared" si="907"/>
        <v>0</v>
      </c>
      <c r="AL637" s="10">
        <f t="shared" si="907"/>
        <v>0</v>
      </c>
      <c r="AM637" s="46">
        <f t="shared" si="907"/>
        <v>0</v>
      </c>
      <c r="AN637" s="10">
        <f t="shared" si="907"/>
        <v>0</v>
      </c>
      <c r="AO637" s="10">
        <f t="shared" si="907"/>
        <v>0</v>
      </c>
      <c r="AP637" s="10">
        <f t="shared" si="907"/>
        <v>0</v>
      </c>
      <c r="AQ637" s="10">
        <f t="shared" si="907"/>
        <v>0</v>
      </c>
      <c r="AR637" s="10">
        <f t="shared" si="907"/>
        <v>0</v>
      </c>
      <c r="AS637" s="10">
        <f t="shared" si="907"/>
        <v>0</v>
      </c>
      <c r="AT637" s="10">
        <f t="shared" si="907"/>
        <v>0</v>
      </c>
      <c r="AU637" s="10">
        <f t="shared" si="907"/>
        <v>0</v>
      </c>
      <c r="AV637" s="10">
        <f t="shared" si="907"/>
        <v>0</v>
      </c>
      <c r="AW637" s="10">
        <f t="shared" si="907"/>
        <v>0</v>
      </c>
      <c r="AX637" s="10">
        <f t="shared" si="907"/>
        <v>0</v>
      </c>
    </row>
    <row r="638" spans="1:50" x14ac:dyDescent="0.2">
      <c r="A638" s="8"/>
      <c r="B638" s="8"/>
      <c r="C638" s="8" t="s">
        <v>34</v>
      </c>
      <c r="D638" s="8"/>
      <c r="E638" s="80"/>
      <c r="F638" s="10">
        <f t="shared" ref="F638:AX638" si="908">AVERAGE(F627:F633)</f>
        <v>15320.857142857143</v>
      </c>
      <c r="G638" s="10">
        <f t="shared" si="908"/>
        <v>8278.1428571428569</v>
      </c>
      <c r="H638" s="10">
        <f t="shared" si="908"/>
        <v>1.7644405177857725</v>
      </c>
      <c r="I638" s="10">
        <f t="shared" si="908"/>
        <v>10964.357142857143</v>
      </c>
      <c r="J638" s="10">
        <f t="shared" si="908"/>
        <v>26.985714285714288</v>
      </c>
      <c r="K638" s="10">
        <f t="shared" si="908"/>
        <v>328.50285714285712</v>
      </c>
      <c r="L638" s="10" t="e">
        <f t="shared" si="908"/>
        <v>#DIV/0!</v>
      </c>
      <c r="M638" s="10">
        <f t="shared" si="908"/>
        <v>6612.5714285714284</v>
      </c>
      <c r="N638" s="10">
        <f t="shared" si="908"/>
        <v>5665.2857142857147</v>
      </c>
      <c r="O638" s="10">
        <f t="shared" si="908"/>
        <v>368.71428571428572</v>
      </c>
      <c r="P638" s="10">
        <f t="shared" si="908"/>
        <v>4392.5714285714284</v>
      </c>
      <c r="Q638" s="10">
        <f t="shared" si="908"/>
        <v>648.14285714285711</v>
      </c>
      <c r="R638" s="10" t="e">
        <f t="shared" si="908"/>
        <v>#DIV/0!</v>
      </c>
      <c r="S638" s="10">
        <f t="shared" si="908"/>
        <v>0</v>
      </c>
      <c r="T638" s="10">
        <f t="shared" si="908"/>
        <v>0</v>
      </c>
      <c r="U638" s="10">
        <f t="shared" si="908"/>
        <v>0</v>
      </c>
      <c r="V638" s="10">
        <f t="shared" si="908"/>
        <v>0</v>
      </c>
      <c r="W638" s="10">
        <f t="shared" si="908"/>
        <v>0</v>
      </c>
      <c r="X638" s="10">
        <f t="shared" si="908"/>
        <v>0</v>
      </c>
      <c r="Y638" s="10">
        <f t="shared" si="908"/>
        <v>0</v>
      </c>
      <c r="Z638" s="10">
        <f t="shared" si="908"/>
        <v>0</v>
      </c>
      <c r="AA638" s="10">
        <f t="shared" si="908"/>
        <v>0</v>
      </c>
      <c r="AB638" s="10">
        <f t="shared" si="908"/>
        <v>0</v>
      </c>
      <c r="AC638" s="10">
        <f t="shared" si="908"/>
        <v>0</v>
      </c>
      <c r="AD638" s="10">
        <f t="shared" si="908"/>
        <v>0</v>
      </c>
      <c r="AE638" s="10">
        <f t="shared" si="908"/>
        <v>0</v>
      </c>
      <c r="AF638" s="10">
        <f t="shared" si="908"/>
        <v>0</v>
      </c>
      <c r="AG638" s="10">
        <f t="shared" si="908"/>
        <v>0</v>
      </c>
      <c r="AH638" s="10">
        <f t="shared" si="908"/>
        <v>0</v>
      </c>
      <c r="AI638" s="10">
        <f t="shared" si="908"/>
        <v>0</v>
      </c>
      <c r="AJ638" s="10">
        <f t="shared" si="908"/>
        <v>0</v>
      </c>
      <c r="AK638" s="10">
        <f t="shared" si="908"/>
        <v>0</v>
      </c>
      <c r="AL638" s="10">
        <f t="shared" si="908"/>
        <v>0</v>
      </c>
      <c r="AM638" s="46">
        <f t="shared" si="908"/>
        <v>0</v>
      </c>
      <c r="AN638" s="10">
        <f t="shared" si="908"/>
        <v>0</v>
      </c>
      <c r="AO638" s="10">
        <f t="shared" si="908"/>
        <v>0</v>
      </c>
      <c r="AP638" s="10">
        <f t="shared" si="908"/>
        <v>0</v>
      </c>
      <c r="AQ638" s="10">
        <f t="shared" si="908"/>
        <v>0</v>
      </c>
      <c r="AR638" s="10">
        <f t="shared" si="908"/>
        <v>0</v>
      </c>
      <c r="AS638" s="10">
        <f t="shared" si="908"/>
        <v>0</v>
      </c>
      <c r="AT638" s="10">
        <f t="shared" si="908"/>
        <v>0</v>
      </c>
      <c r="AU638" s="10">
        <f t="shared" si="908"/>
        <v>0</v>
      </c>
      <c r="AV638" s="10">
        <f t="shared" si="908"/>
        <v>0</v>
      </c>
      <c r="AW638" s="10">
        <f t="shared" si="908"/>
        <v>0</v>
      </c>
      <c r="AX638" s="10">
        <f t="shared" si="908"/>
        <v>0</v>
      </c>
    </row>
    <row r="639" spans="1:50" ht="13.5" thickBot="1" x14ac:dyDescent="0.25">
      <c r="A639" s="16"/>
      <c r="B639" s="16"/>
      <c r="C639" s="16" t="s">
        <v>35</v>
      </c>
      <c r="D639" s="16"/>
      <c r="E639" s="80"/>
      <c r="F639" s="18">
        <f t="shared" ref="F639:AX639" si="909">MEDIAN(F627:F633)</f>
        <v>9083</v>
      </c>
      <c r="G639" s="18">
        <f t="shared" si="909"/>
        <v>5029</v>
      </c>
      <c r="H639" s="18">
        <f t="shared" si="909"/>
        <v>1.7466693179558561</v>
      </c>
      <c r="I639" s="18">
        <f t="shared" si="909"/>
        <v>8883.4</v>
      </c>
      <c r="J639" s="18">
        <f t="shared" si="909"/>
        <v>1</v>
      </c>
      <c r="K639" s="18">
        <f t="shared" si="909"/>
        <v>340</v>
      </c>
      <c r="L639" s="18" t="e">
        <f t="shared" si="909"/>
        <v>#NUM!</v>
      </c>
      <c r="M639" s="18">
        <f t="shared" si="909"/>
        <v>4179</v>
      </c>
      <c r="N639" s="18">
        <f t="shared" si="909"/>
        <v>3630</v>
      </c>
      <c r="O639" s="18">
        <f t="shared" si="909"/>
        <v>0</v>
      </c>
      <c r="P639" s="18">
        <f t="shared" si="909"/>
        <v>0</v>
      </c>
      <c r="Q639" s="18">
        <f t="shared" si="909"/>
        <v>0</v>
      </c>
      <c r="R639" s="18" t="e">
        <f t="shared" si="909"/>
        <v>#NUM!</v>
      </c>
      <c r="S639" s="18">
        <f t="shared" si="909"/>
        <v>0</v>
      </c>
      <c r="T639" s="18">
        <f t="shared" si="909"/>
        <v>0</v>
      </c>
      <c r="U639" s="18">
        <f t="shared" si="909"/>
        <v>0</v>
      </c>
      <c r="V639" s="18">
        <f t="shared" si="909"/>
        <v>0</v>
      </c>
      <c r="W639" s="18">
        <f t="shared" si="909"/>
        <v>0</v>
      </c>
      <c r="X639" s="18">
        <f t="shared" si="909"/>
        <v>0</v>
      </c>
      <c r="Y639" s="18">
        <f t="shared" si="909"/>
        <v>0</v>
      </c>
      <c r="Z639" s="18">
        <f t="shared" si="909"/>
        <v>0</v>
      </c>
      <c r="AA639" s="18">
        <f t="shared" si="909"/>
        <v>0</v>
      </c>
      <c r="AB639" s="18">
        <f t="shared" si="909"/>
        <v>0</v>
      </c>
      <c r="AC639" s="18">
        <f t="shared" si="909"/>
        <v>0</v>
      </c>
      <c r="AD639" s="18">
        <f t="shared" si="909"/>
        <v>0</v>
      </c>
      <c r="AE639" s="18">
        <f t="shared" si="909"/>
        <v>0</v>
      </c>
      <c r="AF639" s="18">
        <f t="shared" si="909"/>
        <v>0</v>
      </c>
      <c r="AG639" s="18">
        <f t="shared" si="909"/>
        <v>0</v>
      </c>
      <c r="AH639" s="18">
        <f t="shared" si="909"/>
        <v>0</v>
      </c>
      <c r="AI639" s="18">
        <f t="shared" si="909"/>
        <v>0</v>
      </c>
      <c r="AJ639" s="18">
        <f t="shared" si="909"/>
        <v>0</v>
      </c>
      <c r="AK639" s="18">
        <f t="shared" si="909"/>
        <v>0</v>
      </c>
      <c r="AL639" s="18">
        <f t="shared" si="909"/>
        <v>0</v>
      </c>
      <c r="AM639" s="47">
        <f t="shared" si="909"/>
        <v>0</v>
      </c>
      <c r="AN639" s="18">
        <f t="shared" si="909"/>
        <v>0</v>
      </c>
      <c r="AO639" s="18">
        <f t="shared" si="909"/>
        <v>0</v>
      </c>
      <c r="AP639" s="18">
        <f t="shared" si="909"/>
        <v>0</v>
      </c>
      <c r="AQ639" s="18">
        <f t="shared" si="909"/>
        <v>0</v>
      </c>
      <c r="AR639" s="18">
        <f t="shared" si="909"/>
        <v>0</v>
      </c>
      <c r="AS639" s="18">
        <f t="shared" si="909"/>
        <v>0</v>
      </c>
      <c r="AT639" s="18">
        <f t="shared" si="909"/>
        <v>0</v>
      </c>
      <c r="AU639" s="18">
        <f t="shared" si="909"/>
        <v>0</v>
      </c>
      <c r="AV639" s="18">
        <f t="shared" si="909"/>
        <v>0</v>
      </c>
      <c r="AW639" s="18">
        <f t="shared" si="909"/>
        <v>0</v>
      </c>
      <c r="AX639" s="18">
        <f t="shared" si="909"/>
        <v>0</v>
      </c>
    </row>
    <row r="640" spans="1:50" ht="13.5" thickTop="1" x14ac:dyDescent="0.2"/>
    <row r="641" spans="1:50" ht="13.5" thickBot="1" x14ac:dyDescent="0.25">
      <c r="A641" s="25"/>
      <c r="B641" s="25"/>
      <c r="C641" s="27" t="s">
        <v>36</v>
      </c>
      <c r="D641" s="27"/>
    </row>
    <row r="642" spans="1:50" ht="13.5" thickTop="1" x14ac:dyDescent="0.2">
      <c r="A642" s="71">
        <v>11650</v>
      </c>
      <c r="B642" s="89" t="str">
        <f t="shared" ref="B642:B651" si="910">VLOOKUP($A642,$A$5:$K$132,2,FALSE)</f>
        <v>Central Coast</v>
      </c>
      <c r="C642" s="9" t="str">
        <f t="shared" ref="C642:C651" si="911">VLOOKUP($A642,$A$5:$K$133,3,FALSE)</f>
        <v>Hunter</v>
      </c>
      <c r="D642" s="51" t="str">
        <f t="shared" ref="D642:D651" si="912">VLOOKUP($A642,$A$5:$K$133,4,FALSE)</f>
        <v>E</v>
      </c>
      <c r="E642" s="10">
        <f t="shared" ref="E642:E651" si="913">VLOOKUP($A642,$A$5:$AX$132,5,FALSE)</f>
        <v>0</v>
      </c>
      <c r="F642" s="10">
        <f t="shared" ref="F642:F651" si="914">VLOOKUP($A642,$A$5:$AX$132,6,FALSE)</f>
        <v>345809</v>
      </c>
      <c r="G642" s="10">
        <f t="shared" ref="G642:G651" si="915">VLOOKUP($A642,$A$5:$AX$132,7,FALSE)</f>
        <v>134461</v>
      </c>
      <c r="H642" s="10">
        <f t="shared" ref="H642:H651" si="916">VLOOKUP($A642,$A$5:$AX$132,8,FALSE)</f>
        <v>2.5718163631090056</v>
      </c>
      <c r="I642" s="10">
        <f t="shared" ref="I642:I651" si="917">VLOOKUP($A642,$A$5:$AX$132,9,FALSE)</f>
        <v>1681.1</v>
      </c>
      <c r="J642" s="10">
        <f t="shared" ref="J642:J651" si="918">VLOOKUP($A642,$A$5:$AX$132,10,FALSE)</f>
        <v>205.7</v>
      </c>
      <c r="K642" s="10">
        <f t="shared" ref="K642:K651" si="919">VLOOKUP($A642,$A$5:$AX$132,11,FALSE)</f>
        <v>512</v>
      </c>
      <c r="L642" s="10" t="str">
        <f t="shared" ref="L642:L651" si="920">VLOOKUP($A642,$A$4:$AX$132,12,FALSE)</f>
        <v>Y</v>
      </c>
      <c r="M642" s="10">
        <f t="shared" ref="M642:M651" si="921">VLOOKUP($A642,$A$4:$AX$132,13,FALSE)</f>
        <v>134461</v>
      </c>
      <c r="N642" s="10">
        <f t="shared" ref="N642:N651" si="922">VLOOKUP($A642,$A$4:$AX$132,14,FALSE)</f>
        <v>128460</v>
      </c>
      <c r="O642" s="10">
        <f t="shared" ref="O642:O651" si="923">VLOOKUP($A642,$A$4:$AX$132,15,FALSE)</f>
        <v>124758</v>
      </c>
      <c r="P642" s="10">
        <f t="shared" ref="P642:P651" si="924">VLOOKUP($A642,$A$4:$AX$132,16,FALSE)</f>
        <v>0</v>
      </c>
      <c r="Q642" s="10">
        <f t="shared" ref="Q642:Q651" si="925">VLOOKUP($A642,$A$4:$AX$132,17,FALSE)</f>
        <v>134461</v>
      </c>
      <c r="R642" s="10" t="str">
        <f t="shared" ref="R642:R651" si="926">VLOOKUP($A642,$A$4:$AX$132,18,FALSE)</f>
        <v>Yes</v>
      </c>
      <c r="S642" s="10" t="str">
        <f t="shared" ref="S642:S651" si="927">VLOOKUP($A642,$A$4:$AX$132,19,FALSE)</f>
        <v>Buttonderry Waste Management Facility - 850 Hue Hue Rd Jilliby</v>
      </c>
      <c r="T642" s="10" t="str">
        <f t="shared" ref="T642:T651" si="928">VLOOKUP($A642,$A$4:$AX$132,20,FALSE)</f>
        <v>Woy Woy Waste Management Facility -Nagari Rd Woy Woy</v>
      </c>
      <c r="U642" s="10">
        <f t="shared" ref="U642:U651" si="929">VLOOKUP($A642,$A$4:$AX$132,21,FALSE)</f>
        <v>0</v>
      </c>
      <c r="V642" s="10">
        <f t="shared" ref="V642:V651" si="930">VLOOKUP($A642,$A$4:$AX$132,22,FALSE)</f>
        <v>0</v>
      </c>
      <c r="W642" s="10">
        <f t="shared" ref="W642:W651" si="931">VLOOKUP($A642,$A$4:$AX$132,23,FALSE)</f>
        <v>0</v>
      </c>
      <c r="X642" s="10">
        <f t="shared" ref="X642:X651" si="932">VLOOKUP($A642,$A$4:$AX$132,24,FALSE)</f>
        <v>0</v>
      </c>
      <c r="Y642" s="10">
        <f t="shared" ref="Y642:Y651" si="933">VLOOKUP($A642,$A$4:$AX$132,25,FALSE)</f>
        <v>0</v>
      </c>
      <c r="Z642" s="10">
        <f t="shared" ref="Z642:Z651" si="934">VLOOKUP($A642,$A$4:$AX$132,26,FALSE)</f>
        <v>0</v>
      </c>
      <c r="AA642" s="10">
        <f t="shared" ref="AA642:AA651" si="935">VLOOKUP($A642,$A$4:$AX$132,27,FALSE)</f>
        <v>0</v>
      </c>
      <c r="AB642" s="10">
        <f t="shared" ref="AB642:AB651" si="936">VLOOKUP($A642,$A$4:$AX$132,28,FALSE)</f>
        <v>0</v>
      </c>
      <c r="AC642" s="10">
        <f t="shared" ref="AC642:AC651" si="937">VLOOKUP($A642,$A$4:$AX$132,29,FALSE)</f>
        <v>0</v>
      </c>
      <c r="AD642" s="10">
        <f t="shared" ref="AD642:AD651" si="938">VLOOKUP($A642,$A$4:$AX$132,30,FALSE)</f>
        <v>0</v>
      </c>
      <c r="AE642" s="10">
        <f t="shared" ref="AE642:AE651" si="939">VLOOKUP($A642,$A$4:$AX$132,31,FALSE)</f>
        <v>0</v>
      </c>
      <c r="AF642" s="10">
        <f t="shared" ref="AF642:AF651" si="940">VLOOKUP($A642,$A$4:$AX$132,32,FALSE)</f>
        <v>0</v>
      </c>
      <c r="AG642" s="10">
        <f t="shared" ref="AG642:AG651" si="941">VLOOKUP($A642,$A$4:$AX$132,33,FALSE)</f>
        <v>0</v>
      </c>
      <c r="AH642" s="10">
        <f t="shared" ref="AH642:AH651" si="942">VLOOKUP($A642,$A$4:$AX$132,34,FALSE)</f>
        <v>0</v>
      </c>
      <c r="AI642" s="10">
        <f t="shared" ref="AI642:AI651" si="943">VLOOKUP($A642,$A$4:$AX$132,35,FALSE)</f>
        <v>0</v>
      </c>
      <c r="AJ642" s="10">
        <f t="shared" ref="AJ642:AJ651" si="944">VLOOKUP($A642,$A$4:$AX$132,36,FALSE)</f>
        <v>0</v>
      </c>
      <c r="AK642" s="10">
        <f t="shared" ref="AK642:AK651" si="945">VLOOKUP($A642,$A$4:$AX$132,37,FALSE)</f>
        <v>0</v>
      </c>
      <c r="AL642" s="10">
        <f t="shared" ref="AL642:AL651" si="946">VLOOKUP($A642,$A$4:$AX$132,38,FALSE)</f>
        <v>0</v>
      </c>
      <c r="AM642" s="10">
        <f t="shared" ref="AM642:AM651" si="947">VLOOKUP($A642,$A$4:$AX$132,39,FALSE)</f>
        <v>0</v>
      </c>
      <c r="AN642" s="46">
        <f t="shared" ref="AN642:AN651" si="948">VLOOKUP($A642,$A$4:$AX$132,40,FALSE)</f>
        <v>0</v>
      </c>
      <c r="AO642" s="10">
        <f t="shared" ref="AO642:AO651" si="949">VLOOKUP($A642,$A$4:$AX$132,41,FALSE)</f>
        <v>0</v>
      </c>
      <c r="AP642" s="10">
        <f t="shared" ref="AP642:AP651" si="950">VLOOKUP($A642,$A$4:$AX$132,42,FALSE)</f>
        <v>0</v>
      </c>
      <c r="AQ642" s="10">
        <f t="shared" ref="AQ642:AQ651" si="951">VLOOKUP($A642,$A$4:$AX$132,43,FALSE)</f>
        <v>0</v>
      </c>
      <c r="AR642" s="10">
        <f t="shared" ref="AR642:AR651" si="952">VLOOKUP($A642,$A$4:$AX$132,44,FALSE)</f>
        <v>0</v>
      </c>
      <c r="AS642" s="10">
        <f t="shared" ref="AS642:AS651" si="953">VLOOKUP($A642,$A$4:$AX$132,45,FALSE)</f>
        <v>0</v>
      </c>
      <c r="AT642" s="10">
        <f t="shared" ref="AT642:AT651" si="954">VLOOKUP($A642,$A$4:$AX$132,46,FALSE)</f>
        <v>0</v>
      </c>
      <c r="AU642" s="10">
        <f t="shared" ref="AU642:AU651" si="955">VLOOKUP($A642,$A$4:$AX$132,47,FALSE)</f>
        <v>0</v>
      </c>
      <c r="AV642" s="10">
        <f t="shared" ref="AV642:AV651" si="956">VLOOKUP($A642,$A$4:$AX$132,48,FALSE)</f>
        <v>0</v>
      </c>
      <c r="AW642" s="10">
        <f t="shared" ref="AW642:AW651" si="957">VLOOKUP($A642,$A$4:$AX$132,49,FALSE)</f>
        <v>0</v>
      </c>
      <c r="AX642" s="10">
        <f t="shared" ref="AX642:AX651" si="958">VLOOKUP($A642,$A$4:$AX$132,50,FALSE)</f>
        <v>0</v>
      </c>
    </row>
    <row r="643" spans="1:50" x14ac:dyDescent="0.2">
      <c r="A643" s="8">
        <v>11720</v>
      </c>
      <c r="B643" s="89" t="str">
        <f t="shared" si="910"/>
        <v>Cessnock</v>
      </c>
      <c r="C643" s="9" t="str">
        <f t="shared" si="911"/>
        <v>Hunter</v>
      </c>
      <c r="D643" s="51" t="str">
        <f t="shared" si="912"/>
        <v>E</v>
      </c>
      <c r="E643" s="10" t="str">
        <f t="shared" si="913"/>
        <v>HJO</v>
      </c>
      <c r="F643" s="10">
        <f t="shared" si="914"/>
        <v>61256</v>
      </c>
      <c r="G643" s="10">
        <f t="shared" si="915"/>
        <v>28478</v>
      </c>
      <c r="H643" s="10">
        <f t="shared" si="916"/>
        <v>2.1509937495610645</v>
      </c>
      <c r="I643" s="10">
        <f t="shared" si="917"/>
        <v>1965.2</v>
      </c>
      <c r="J643" s="10">
        <f t="shared" si="918"/>
        <v>31.2</v>
      </c>
      <c r="K643" s="10">
        <f t="shared" si="919"/>
        <v>599</v>
      </c>
      <c r="L643" s="10" t="str">
        <f t="shared" si="920"/>
        <v>Y</v>
      </c>
      <c r="M643" s="10">
        <f t="shared" si="921"/>
        <v>23719</v>
      </c>
      <c r="N643" s="10">
        <f t="shared" si="922"/>
        <v>23965</v>
      </c>
      <c r="O643" s="10">
        <f t="shared" si="923"/>
        <v>23834</v>
      </c>
      <c r="P643" s="10">
        <f t="shared" si="924"/>
        <v>0</v>
      </c>
      <c r="Q643" s="10">
        <f t="shared" si="925"/>
        <v>0</v>
      </c>
      <c r="R643" s="10" t="str">
        <f t="shared" si="926"/>
        <v>Yes</v>
      </c>
      <c r="S643" s="10" t="str">
        <f t="shared" si="927"/>
        <v>Cessnock Waste Management Centre, 1967 Old Maitland Rd, Cessnock</v>
      </c>
      <c r="T643" s="10">
        <f t="shared" si="928"/>
        <v>0</v>
      </c>
      <c r="U643" s="10">
        <f t="shared" si="929"/>
        <v>0</v>
      </c>
      <c r="V643" s="10">
        <f t="shared" si="930"/>
        <v>0</v>
      </c>
      <c r="W643" s="10">
        <f t="shared" si="931"/>
        <v>0</v>
      </c>
      <c r="X643" s="10">
        <f t="shared" si="932"/>
        <v>0</v>
      </c>
      <c r="Y643" s="10">
        <f t="shared" si="933"/>
        <v>0</v>
      </c>
      <c r="Z643" s="10">
        <f t="shared" si="934"/>
        <v>0</v>
      </c>
      <c r="AA643" s="10">
        <f t="shared" si="935"/>
        <v>0</v>
      </c>
      <c r="AB643" s="10">
        <f t="shared" si="936"/>
        <v>0</v>
      </c>
      <c r="AC643" s="10">
        <f t="shared" si="937"/>
        <v>0</v>
      </c>
      <c r="AD643" s="10">
        <f t="shared" si="938"/>
        <v>0</v>
      </c>
      <c r="AE643" s="10">
        <f t="shared" si="939"/>
        <v>0</v>
      </c>
      <c r="AF643" s="10">
        <f t="shared" si="940"/>
        <v>0</v>
      </c>
      <c r="AG643" s="10">
        <f t="shared" si="941"/>
        <v>0</v>
      </c>
      <c r="AH643" s="10">
        <f t="shared" si="942"/>
        <v>0</v>
      </c>
      <c r="AI643" s="10">
        <f t="shared" si="943"/>
        <v>0</v>
      </c>
      <c r="AJ643" s="10">
        <f t="shared" si="944"/>
        <v>0</v>
      </c>
      <c r="AK643" s="10">
        <f t="shared" si="945"/>
        <v>0</v>
      </c>
      <c r="AL643" s="10">
        <f t="shared" si="946"/>
        <v>0</v>
      </c>
      <c r="AM643" s="10">
        <f t="shared" si="947"/>
        <v>0</v>
      </c>
      <c r="AN643" s="46">
        <f t="shared" si="948"/>
        <v>0</v>
      </c>
      <c r="AO643" s="10">
        <f t="shared" si="949"/>
        <v>0</v>
      </c>
      <c r="AP643" s="10">
        <f t="shared" si="950"/>
        <v>0</v>
      </c>
      <c r="AQ643" s="10">
        <f t="shared" si="951"/>
        <v>0</v>
      </c>
      <c r="AR643" s="10">
        <f t="shared" si="952"/>
        <v>0</v>
      </c>
      <c r="AS643" s="10">
        <f t="shared" si="953"/>
        <v>0</v>
      </c>
      <c r="AT643" s="10">
        <f t="shared" si="954"/>
        <v>0</v>
      </c>
      <c r="AU643" s="10">
        <f t="shared" si="955"/>
        <v>0</v>
      </c>
      <c r="AV643" s="10">
        <f t="shared" si="956"/>
        <v>0</v>
      </c>
      <c r="AW643" s="10">
        <f t="shared" si="957"/>
        <v>0</v>
      </c>
      <c r="AX643" s="10">
        <f t="shared" si="958"/>
        <v>0</v>
      </c>
    </row>
    <row r="644" spans="1:50" x14ac:dyDescent="0.2">
      <c r="A644" s="8">
        <v>12700</v>
      </c>
      <c r="B644" s="89" t="str">
        <f t="shared" si="910"/>
        <v>Dungog</v>
      </c>
      <c r="C644" s="9" t="str">
        <f t="shared" si="911"/>
        <v>Hunter</v>
      </c>
      <c r="D644" s="51" t="str">
        <f t="shared" si="912"/>
        <v>R</v>
      </c>
      <c r="E644" s="10" t="str">
        <f t="shared" si="913"/>
        <v>HJO</v>
      </c>
      <c r="F644" s="10">
        <f t="shared" si="914"/>
        <v>9664</v>
      </c>
      <c r="G644" s="10">
        <f t="shared" si="915"/>
        <v>5300</v>
      </c>
      <c r="H644" s="10">
        <f t="shared" si="916"/>
        <v>1.8233962264150942</v>
      </c>
      <c r="I644" s="10">
        <f t="shared" si="917"/>
        <v>2250</v>
      </c>
      <c r="J644" s="10">
        <f t="shared" si="918"/>
        <v>4.3</v>
      </c>
      <c r="K644" s="10">
        <f t="shared" si="919"/>
        <v>455</v>
      </c>
      <c r="L644" s="10" t="str">
        <f t="shared" si="920"/>
        <v>Y</v>
      </c>
      <c r="M644" s="10">
        <f t="shared" si="921"/>
        <v>3786</v>
      </c>
      <c r="N644" s="10">
        <f t="shared" si="922"/>
        <v>3751</v>
      </c>
      <c r="O644" s="10">
        <f t="shared" si="923"/>
        <v>0</v>
      </c>
      <c r="P644" s="10">
        <f t="shared" si="924"/>
        <v>0</v>
      </c>
      <c r="Q644" s="10">
        <f t="shared" si="925"/>
        <v>5300</v>
      </c>
      <c r="R644" s="10" t="str">
        <f t="shared" si="926"/>
        <v>Yes</v>
      </c>
      <c r="S644" s="10" t="str">
        <f t="shared" si="927"/>
        <v>Dungog Waste Management Facility</v>
      </c>
      <c r="T644" s="10">
        <f t="shared" si="928"/>
        <v>0</v>
      </c>
      <c r="U644" s="10">
        <f t="shared" si="929"/>
        <v>0</v>
      </c>
      <c r="V644" s="10">
        <f t="shared" si="930"/>
        <v>0</v>
      </c>
      <c r="W644" s="10">
        <f t="shared" si="931"/>
        <v>0</v>
      </c>
      <c r="X644" s="10">
        <f t="shared" si="932"/>
        <v>0</v>
      </c>
      <c r="Y644" s="10">
        <f t="shared" si="933"/>
        <v>0</v>
      </c>
      <c r="Z644" s="10">
        <f t="shared" si="934"/>
        <v>0</v>
      </c>
      <c r="AA644" s="10">
        <f t="shared" si="935"/>
        <v>0</v>
      </c>
      <c r="AB644" s="10">
        <f t="shared" si="936"/>
        <v>0</v>
      </c>
      <c r="AC644" s="10">
        <f t="shared" si="937"/>
        <v>0</v>
      </c>
      <c r="AD644" s="10">
        <f t="shared" si="938"/>
        <v>0</v>
      </c>
      <c r="AE644" s="10">
        <f t="shared" si="939"/>
        <v>0</v>
      </c>
      <c r="AF644" s="10">
        <f t="shared" si="940"/>
        <v>0</v>
      </c>
      <c r="AG644" s="10">
        <f t="shared" si="941"/>
        <v>0</v>
      </c>
      <c r="AH644" s="10">
        <f t="shared" si="942"/>
        <v>0</v>
      </c>
      <c r="AI644" s="10">
        <f t="shared" si="943"/>
        <v>0</v>
      </c>
      <c r="AJ644" s="10">
        <f t="shared" si="944"/>
        <v>0</v>
      </c>
      <c r="AK644" s="10">
        <f t="shared" si="945"/>
        <v>0</v>
      </c>
      <c r="AL644" s="10">
        <f t="shared" si="946"/>
        <v>0</v>
      </c>
      <c r="AM644" s="10">
        <f t="shared" si="947"/>
        <v>0</v>
      </c>
      <c r="AN644" s="46">
        <f t="shared" si="948"/>
        <v>0</v>
      </c>
      <c r="AO644" s="10">
        <f t="shared" si="949"/>
        <v>0</v>
      </c>
      <c r="AP644" s="10">
        <f t="shared" si="950"/>
        <v>0</v>
      </c>
      <c r="AQ644" s="10">
        <f t="shared" si="951"/>
        <v>0</v>
      </c>
      <c r="AR644" s="10">
        <f t="shared" si="952"/>
        <v>0</v>
      </c>
      <c r="AS644" s="10">
        <f t="shared" si="953"/>
        <v>0</v>
      </c>
      <c r="AT644" s="10">
        <f t="shared" si="954"/>
        <v>0</v>
      </c>
      <c r="AU644" s="10">
        <f t="shared" si="955"/>
        <v>0</v>
      </c>
      <c r="AV644" s="10">
        <f t="shared" si="956"/>
        <v>0</v>
      </c>
      <c r="AW644" s="10">
        <f t="shared" si="957"/>
        <v>0</v>
      </c>
      <c r="AX644" s="10">
        <f t="shared" si="958"/>
        <v>0</v>
      </c>
    </row>
    <row r="645" spans="1:50" x14ac:dyDescent="0.2">
      <c r="A645" s="8">
        <v>14650</v>
      </c>
      <c r="B645" s="89" t="str">
        <f t="shared" si="910"/>
        <v>Lake Macquarie</v>
      </c>
      <c r="C645" s="9" t="str">
        <f t="shared" si="911"/>
        <v>Hunter</v>
      </c>
      <c r="D645" s="51" t="str">
        <f t="shared" si="912"/>
        <v>E</v>
      </c>
      <c r="E645" s="10" t="str">
        <f t="shared" si="913"/>
        <v>HJO</v>
      </c>
      <c r="F645" s="10">
        <f t="shared" si="914"/>
        <v>207775</v>
      </c>
      <c r="G645" s="10">
        <f t="shared" si="915"/>
        <v>87115</v>
      </c>
      <c r="H645" s="10">
        <f t="shared" si="916"/>
        <v>2.3850657177294381</v>
      </c>
      <c r="I645" s="10">
        <f t="shared" si="917"/>
        <v>648.6</v>
      </c>
      <c r="J645" s="10">
        <f t="shared" si="918"/>
        <v>320.3</v>
      </c>
      <c r="K645" s="10">
        <f t="shared" si="919"/>
        <v>451</v>
      </c>
      <c r="L645" s="10" t="str">
        <f t="shared" si="920"/>
        <v>Y</v>
      </c>
      <c r="M645" s="10">
        <f t="shared" si="921"/>
        <v>84915</v>
      </c>
      <c r="N645" s="10">
        <f t="shared" si="922"/>
        <v>83059</v>
      </c>
      <c r="O645" s="10">
        <f t="shared" si="923"/>
        <v>0</v>
      </c>
      <c r="P645" s="10">
        <f t="shared" si="924"/>
        <v>84741</v>
      </c>
      <c r="Q645" s="10">
        <f t="shared" si="925"/>
        <v>87115</v>
      </c>
      <c r="R645" s="10" t="str">
        <f t="shared" si="926"/>
        <v>Yes</v>
      </c>
      <c r="S645" s="10" t="str">
        <f t="shared" si="927"/>
        <v xml:space="preserve">Awaba Waste Management Facility </v>
      </c>
      <c r="T645" s="10">
        <f t="shared" si="928"/>
        <v>0</v>
      </c>
      <c r="U645" s="10">
        <f t="shared" si="929"/>
        <v>0</v>
      </c>
      <c r="V645" s="10">
        <f t="shared" si="930"/>
        <v>0</v>
      </c>
      <c r="W645" s="10">
        <f t="shared" si="931"/>
        <v>0</v>
      </c>
      <c r="X645" s="10">
        <f t="shared" si="932"/>
        <v>0</v>
      </c>
      <c r="Y645" s="10">
        <f t="shared" si="933"/>
        <v>0</v>
      </c>
      <c r="Z645" s="10">
        <f t="shared" si="934"/>
        <v>0</v>
      </c>
      <c r="AA645" s="10">
        <f t="shared" si="935"/>
        <v>0</v>
      </c>
      <c r="AB645" s="10">
        <f t="shared" si="936"/>
        <v>0</v>
      </c>
      <c r="AC645" s="10">
        <f t="shared" si="937"/>
        <v>0</v>
      </c>
      <c r="AD645" s="10">
        <f t="shared" si="938"/>
        <v>0</v>
      </c>
      <c r="AE645" s="10">
        <f t="shared" si="939"/>
        <v>0</v>
      </c>
      <c r="AF645" s="10">
        <f t="shared" si="940"/>
        <v>0</v>
      </c>
      <c r="AG645" s="10">
        <f t="shared" si="941"/>
        <v>0</v>
      </c>
      <c r="AH645" s="10">
        <f t="shared" si="942"/>
        <v>0</v>
      </c>
      <c r="AI645" s="10">
        <f t="shared" si="943"/>
        <v>0</v>
      </c>
      <c r="AJ645" s="10">
        <f t="shared" si="944"/>
        <v>0</v>
      </c>
      <c r="AK645" s="10">
        <f t="shared" si="945"/>
        <v>0</v>
      </c>
      <c r="AL645" s="10">
        <f t="shared" si="946"/>
        <v>0</v>
      </c>
      <c r="AM645" s="10">
        <f t="shared" si="947"/>
        <v>0</v>
      </c>
      <c r="AN645" s="46">
        <f t="shared" si="948"/>
        <v>0</v>
      </c>
      <c r="AO645" s="10">
        <f t="shared" si="949"/>
        <v>0</v>
      </c>
      <c r="AP645" s="10">
        <f t="shared" si="950"/>
        <v>0</v>
      </c>
      <c r="AQ645" s="10">
        <f t="shared" si="951"/>
        <v>0</v>
      </c>
      <c r="AR645" s="10">
        <f t="shared" si="952"/>
        <v>0</v>
      </c>
      <c r="AS645" s="10">
        <f t="shared" si="953"/>
        <v>0</v>
      </c>
      <c r="AT645" s="10">
        <f t="shared" si="954"/>
        <v>0</v>
      </c>
      <c r="AU645" s="10">
        <f t="shared" si="955"/>
        <v>0</v>
      </c>
      <c r="AV645" s="10">
        <f t="shared" si="956"/>
        <v>0</v>
      </c>
      <c r="AW645" s="10">
        <f t="shared" si="957"/>
        <v>0</v>
      </c>
      <c r="AX645" s="10">
        <f t="shared" si="958"/>
        <v>0</v>
      </c>
    </row>
    <row r="646" spans="1:50" x14ac:dyDescent="0.2">
      <c r="A646" s="8">
        <v>15050</v>
      </c>
      <c r="B646" s="89" t="str">
        <f t="shared" si="910"/>
        <v>Maitland</v>
      </c>
      <c r="C646" s="9" t="str">
        <f t="shared" si="911"/>
        <v>Hunter</v>
      </c>
      <c r="D646" s="51" t="str">
        <f t="shared" si="912"/>
        <v>E</v>
      </c>
      <c r="E646" s="10" t="str">
        <f t="shared" si="913"/>
        <v>HJO</v>
      </c>
      <c r="F646" s="10">
        <f t="shared" si="914"/>
        <v>87395</v>
      </c>
      <c r="G646" s="10">
        <f t="shared" si="915"/>
        <v>35810</v>
      </c>
      <c r="H646" s="10">
        <f t="shared" si="916"/>
        <v>2.4405194079865957</v>
      </c>
      <c r="I646" s="10">
        <f t="shared" si="917"/>
        <v>391.5</v>
      </c>
      <c r="J646" s="10">
        <f t="shared" si="918"/>
        <v>223.2</v>
      </c>
      <c r="K646" s="10">
        <f t="shared" si="919"/>
        <v>525.35</v>
      </c>
      <c r="L646" s="10" t="str">
        <f t="shared" si="920"/>
        <v>Y</v>
      </c>
      <c r="M646" s="10">
        <f t="shared" si="921"/>
        <v>32906</v>
      </c>
      <c r="N646" s="10">
        <f t="shared" si="922"/>
        <v>32906</v>
      </c>
      <c r="O646" s="10">
        <f t="shared" si="923"/>
        <v>32906</v>
      </c>
      <c r="P646" s="10">
        <f t="shared" si="924"/>
        <v>0</v>
      </c>
      <c r="Q646" s="10">
        <f t="shared" si="925"/>
        <v>35810</v>
      </c>
      <c r="R646" s="10" t="str">
        <f t="shared" si="926"/>
        <v>Yes</v>
      </c>
      <c r="S646" s="10" t="str">
        <f t="shared" si="927"/>
        <v>Mt Vincent Rd Waste Management Centre, 109 Mt Vincent Rd, East Maitland</v>
      </c>
      <c r="T646" s="10">
        <f t="shared" si="928"/>
        <v>0</v>
      </c>
      <c r="U646" s="10">
        <f t="shared" si="929"/>
        <v>0</v>
      </c>
      <c r="V646" s="10">
        <f t="shared" si="930"/>
        <v>0</v>
      </c>
      <c r="W646" s="10">
        <f t="shared" si="931"/>
        <v>0</v>
      </c>
      <c r="X646" s="10">
        <f t="shared" si="932"/>
        <v>0</v>
      </c>
      <c r="Y646" s="10">
        <f t="shared" si="933"/>
        <v>0</v>
      </c>
      <c r="Z646" s="10">
        <f t="shared" si="934"/>
        <v>0</v>
      </c>
      <c r="AA646" s="10">
        <f t="shared" si="935"/>
        <v>0</v>
      </c>
      <c r="AB646" s="10">
        <f t="shared" si="936"/>
        <v>0</v>
      </c>
      <c r="AC646" s="10">
        <f t="shared" si="937"/>
        <v>0</v>
      </c>
      <c r="AD646" s="10">
        <f t="shared" si="938"/>
        <v>0</v>
      </c>
      <c r="AE646" s="10">
        <f t="shared" si="939"/>
        <v>0</v>
      </c>
      <c r="AF646" s="10">
        <f t="shared" si="940"/>
        <v>0</v>
      </c>
      <c r="AG646" s="10">
        <f t="shared" si="941"/>
        <v>0</v>
      </c>
      <c r="AH646" s="10">
        <f t="shared" si="942"/>
        <v>0</v>
      </c>
      <c r="AI646" s="10">
        <f t="shared" si="943"/>
        <v>0</v>
      </c>
      <c r="AJ646" s="10">
        <f t="shared" si="944"/>
        <v>0</v>
      </c>
      <c r="AK646" s="10">
        <f t="shared" si="945"/>
        <v>0</v>
      </c>
      <c r="AL646" s="10">
        <f t="shared" si="946"/>
        <v>0</v>
      </c>
      <c r="AM646" s="10">
        <f t="shared" si="947"/>
        <v>0</v>
      </c>
      <c r="AN646" s="46">
        <f t="shared" si="948"/>
        <v>0</v>
      </c>
      <c r="AO646" s="10">
        <f t="shared" si="949"/>
        <v>0</v>
      </c>
      <c r="AP646" s="10">
        <f t="shared" si="950"/>
        <v>0</v>
      </c>
      <c r="AQ646" s="10">
        <f t="shared" si="951"/>
        <v>0</v>
      </c>
      <c r="AR646" s="10">
        <f t="shared" si="952"/>
        <v>0</v>
      </c>
      <c r="AS646" s="10">
        <f t="shared" si="953"/>
        <v>0</v>
      </c>
      <c r="AT646" s="10">
        <f t="shared" si="954"/>
        <v>0</v>
      </c>
      <c r="AU646" s="10">
        <f t="shared" si="955"/>
        <v>0</v>
      </c>
      <c r="AV646" s="10">
        <f t="shared" si="956"/>
        <v>0</v>
      </c>
      <c r="AW646" s="10">
        <f t="shared" si="957"/>
        <v>0</v>
      </c>
      <c r="AX646" s="10">
        <f t="shared" si="958"/>
        <v>0</v>
      </c>
    </row>
    <row r="647" spans="1:50" x14ac:dyDescent="0.2">
      <c r="A647" s="8">
        <v>15650</v>
      </c>
      <c r="B647" s="89" t="str">
        <f t="shared" si="910"/>
        <v>Muswellbrook</v>
      </c>
      <c r="C647" s="9" t="str">
        <f t="shared" si="911"/>
        <v>Hunter</v>
      </c>
      <c r="D647" s="51" t="str">
        <f t="shared" si="912"/>
        <v>R</v>
      </c>
      <c r="E647" s="10" t="str">
        <f t="shared" si="913"/>
        <v>HJO</v>
      </c>
      <c r="F647" s="10">
        <f t="shared" si="914"/>
        <v>16355</v>
      </c>
      <c r="G647" s="10">
        <f t="shared" si="915"/>
        <v>8029</v>
      </c>
      <c r="H647" s="10">
        <f t="shared" si="916"/>
        <v>2.0369909079586499</v>
      </c>
      <c r="I647" s="10">
        <f t="shared" si="917"/>
        <v>3404.9</v>
      </c>
      <c r="J647" s="10">
        <f t="shared" si="918"/>
        <v>4.8</v>
      </c>
      <c r="K647" s="10">
        <f t="shared" si="919"/>
        <v>422</v>
      </c>
      <c r="L647" s="10" t="str">
        <f t="shared" si="920"/>
        <v>Y</v>
      </c>
      <c r="M647" s="10">
        <f t="shared" si="921"/>
        <v>6251</v>
      </c>
      <c r="N647" s="10">
        <f t="shared" si="922"/>
        <v>6126</v>
      </c>
      <c r="O647" s="10">
        <f t="shared" si="923"/>
        <v>5732</v>
      </c>
      <c r="P647" s="10">
        <f t="shared" si="924"/>
        <v>0</v>
      </c>
      <c r="Q647" s="10">
        <f t="shared" si="925"/>
        <v>8029</v>
      </c>
      <c r="R647" s="10" t="str">
        <f t="shared" si="926"/>
        <v>Yes</v>
      </c>
      <c r="S647" s="10" t="str">
        <f t="shared" si="927"/>
        <v>Muswellbrook Waste &amp; Recycling Centre</v>
      </c>
      <c r="T647" s="10" t="str">
        <f t="shared" si="928"/>
        <v>Denman Transfer Station</v>
      </c>
      <c r="U647" s="10">
        <f t="shared" si="929"/>
        <v>0</v>
      </c>
      <c r="V647" s="10">
        <f t="shared" si="930"/>
        <v>0</v>
      </c>
      <c r="W647" s="10">
        <f t="shared" si="931"/>
        <v>0</v>
      </c>
      <c r="X647" s="10">
        <f t="shared" si="932"/>
        <v>0</v>
      </c>
      <c r="Y647" s="10">
        <f t="shared" si="933"/>
        <v>0</v>
      </c>
      <c r="Z647" s="10">
        <f t="shared" si="934"/>
        <v>0</v>
      </c>
      <c r="AA647" s="10">
        <f t="shared" si="935"/>
        <v>0</v>
      </c>
      <c r="AB647" s="10">
        <f t="shared" si="936"/>
        <v>0</v>
      </c>
      <c r="AC647" s="10">
        <f t="shared" si="937"/>
        <v>0</v>
      </c>
      <c r="AD647" s="10">
        <f t="shared" si="938"/>
        <v>0</v>
      </c>
      <c r="AE647" s="10">
        <f t="shared" si="939"/>
        <v>0</v>
      </c>
      <c r="AF647" s="10">
        <f t="shared" si="940"/>
        <v>0</v>
      </c>
      <c r="AG647" s="10">
        <f t="shared" si="941"/>
        <v>0</v>
      </c>
      <c r="AH647" s="10">
        <f t="shared" si="942"/>
        <v>0</v>
      </c>
      <c r="AI647" s="10">
        <f t="shared" si="943"/>
        <v>0</v>
      </c>
      <c r="AJ647" s="10">
        <f t="shared" si="944"/>
        <v>0</v>
      </c>
      <c r="AK647" s="10">
        <f t="shared" si="945"/>
        <v>0</v>
      </c>
      <c r="AL647" s="10">
        <f t="shared" si="946"/>
        <v>0</v>
      </c>
      <c r="AM647" s="10">
        <f t="shared" si="947"/>
        <v>0</v>
      </c>
      <c r="AN647" s="46">
        <f t="shared" si="948"/>
        <v>0</v>
      </c>
      <c r="AO647" s="10">
        <f t="shared" si="949"/>
        <v>0</v>
      </c>
      <c r="AP647" s="10">
        <f t="shared" si="950"/>
        <v>0</v>
      </c>
      <c r="AQ647" s="10">
        <f t="shared" si="951"/>
        <v>0</v>
      </c>
      <c r="AR647" s="10">
        <f t="shared" si="952"/>
        <v>0</v>
      </c>
      <c r="AS647" s="10">
        <f t="shared" si="953"/>
        <v>0</v>
      </c>
      <c r="AT647" s="10">
        <f t="shared" si="954"/>
        <v>0</v>
      </c>
      <c r="AU647" s="10">
        <f t="shared" si="955"/>
        <v>0</v>
      </c>
      <c r="AV647" s="10">
        <f t="shared" si="956"/>
        <v>0</v>
      </c>
      <c r="AW647" s="10">
        <f t="shared" si="957"/>
        <v>0</v>
      </c>
      <c r="AX647" s="10">
        <f t="shared" si="958"/>
        <v>0</v>
      </c>
    </row>
    <row r="648" spans="1:50" x14ac:dyDescent="0.2">
      <c r="A648" s="8">
        <v>15900</v>
      </c>
      <c r="B648" s="89" t="str">
        <f t="shared" si="910"/>
        <v>Newcastle</v>
      </c>
      <c r="C648" s="9" t="str">
        <f t="shared" si="911"/>
        <v>Hunter</v>
      </c>
      <c r="D648" s="51" t="str">
        <f t="shared" si="912"/>
        <v>E</v>
      </c>
      <c r="E648" s="10" t="str">
        <f t="shared" si="913"/>
        <v>HJO</v>
      </c>
      <c r="F648" s="10">
        <f t="shared" si="914"/>
        <v>167363</v>
      </c>
      <c r="G648" s="10">
        <f t="shared" si="915"/>
        <v>72935</v>
      </c>
      <c r="H648" s="10">
        <f t="shared" si="916"/>
        <v>2.2946870501131142</v>
      </c>
      <c r="I648" s="10">
        <f t="shared" si="917"/>
        <v>186.8</v>
      </c>
      <c r="J648" s="10">
        <f t="shared" si="918"/>
        <v>896.2</v>
      </c>
      <c r="K648" s="10">
        <f t="shared" si="919"/>
        <v>374.52</v>
      </c>
      <c r="L648" s="10" t="str">
        <f t="shared" si="920"/>
        <v>Y</v>
      </c>
      <c r="M648" s="10">
        <f t="shared" si="921"/>
        <v>51728</v>
      </c>
      <c r="N648" s="10">
        <f t="shared" si="922"/>
        <v>52056</v>
      </c>
      <c r="O648" s="10">
        <f t="shared" si="923"/>
        <v>52523</v>
      </c>
      <c r="P648" s="10">
        <f t="shared" si="924"/>
        <v>0</v>
      </c>
      <c r="Q648" s="10">
        <f t="shared" si="925"/>
        <v>72935</v>
      </c>
      <c r="R648" s="10" t="str">
        <f t="shared" si="926"/>
        <v>Yes</v>
      </c>
      <c r="S648" s="10" t="str">
        <f t="shared" si="927"/>
        <v>Summerhill Waste Management Centre, 141 Minmi Road, Wallsend</v>
      </c>
      <c r="T648" s="10">
        <f t="shared" si="928"/>
        <v>0</v>
      </c>
      <c r="U648" s="10">
        <f t="shared" si="929"/>
        <v>0</v>
      </c>
      <c r="V648" s="10">
        <f t="shared" si="930"/>
        <v>0</v>
      </c>
      <c r="W648" s="10">
        <f t="shared" si="931"/>
        <v>0</v>
      </c>
      <c r="X648" s="10">
        <f t="shared" si="932"/>
        <v>0</v>
      </c>
      <c r="Y648" s="10">
        <f t="shared" si="933"/>
        <v>0</v>
      </c>
      <c r="Z648" s="10">
        <f t="shared" si="934"/>
        <v>0</v>
      </c>
      <c r="AA648" s="10">
        <f t="shared" si="935"/>
        <v>0</v>
      </c>
      <c r="AB648" s="10">
        <f t="shared" si="936"/>
        <v>0</v>
      </c>
      <c r="AC648" s="10">
        <f t="shared" si="937"/>
        <v>0</v>
      </c>
      <c r="AD648" s="10">
        <f t="shared" si="938"/>
        <v>0</v>
      </c>
      <c r="AE648" s="10">
        <f t="shared" si="939"/>
        <v>0</v>
      </c>
      <c r="AF648" s="10">
        <f t="shared" si="940"/>
        <v>0</v>
      </c>
      <c r="AG648" s="10">
        <f t="shared" si="941"/>
        <v>0</v>
      </c>
      <c r="AH648" s="10">
        <f t="shared" si="942"/>
        <v>0</v>
      </c>
      <c r="AI648" s="10">
        <f t="shared" si="943"/>
        <v>0</v>
      </c>
      <c r="AJ648" s="10">
        <f t="shared" si="944"/>
        <v>0</v>
      </c>
      <c r="AK648" s="10">
        <f t="shared" si="945"/>
        <v>0</v>
      </c>
      <c r="AL648" s="10">
        <f t="shared" si="946"/>
        <v>0</v>
      </c>
      <c r="AM648" s="10">
        <f t="shared" si="947"/>
        <v>0</v>
      </c>
      <c r="AN648" s="46">
        <f t="shared" si="948"/>
        <v>0</v>
      </c>
      <c r="AO648" s="10">
        <f t="shared" si="949"/>
        <v>0</v>
      </c>
      <c r="AP648" s="10">
        <f t="shared" si="950"/>
        <v>0</v>
      </c>
      <c r="AQ648" s="10">
        <f t="shared" si="951"/>
        <v>0</v>
      </c>
      <c r="AR648" s="10">
        <f t="shared" si="952"/>
        <v>0</v>
      </c>
      <c r="AS648" s="10">
        <f t="shared" si="953"/>
        <v>0</v>
      </c>
      <c r="AT648" s="10">
        <f t="shared" si="954"/>
        <v>0</v>
      </c>
      <c r="AU648" s="10">
        <f t="shared" si="955"/>
        <v>0</v>
      </c>
      <c r="AV648" s="10">
        <f t="shared" si="956"/>
        <v>0</v>
      </c>
      <c r="AW648" s="10">
        <f t="shared" si="957"/>
        <v>0</v>
      </c>
      <c r="AX648" s="10">
        <f t="shared" si="958"/>
        <v>0</v>
      </c>
    </row>
    <row r="649" spans="1:50" x14ac:dyDescent="0.2">
      <c r="A649" s="8">
        <v>16400</v>
      </c>
      <c r="B649" s="89" t="str">
        <f t="shared" si="910"/>
        <v>Port Stephens</v>
      </c>
      <c r="C649" s="9" t="str">
        <f t="shared" si="911"/>
        <v>Hunter</v>
      </c>
      <c r="D649" s="51" t="str">
        <f t="shared" si="912"/>
        <v>E</v>
      </c>
      <c r="E649" s="10" t="str">
        <f t="shared" si="913"/>
        <v>HJO</v>
      </c>
      <c r="F649" s="10">
        <f t="shared" si="914"/>
        <v>74506</v>
      </c>
      <c r="G649" s="10">
        <f t="shared" si="915"/>
        <v>36766</v>
      </c>
      <c r="H649" s="10">
        <f t="shared" si="916"/>
        <v>2.0264918674862646</v>
      </c>
      <c r="I649" s="10">
        <f t="shared" si="917"/>
        <v>858.4</v>
      </c>
      <c r="J649" s="10">
        <f t="shared" si="918"/>
        <v>86.8</v>
      </c>
      <c r="K649" s="10">
        <f t="shared" si="919"/>
        <v>452</v>
      </c>
      <c r="L649" s="10" t="str">
        <f t="shared" si="920"/>
        <v>Y</v>
      </c>
      <c r="M649" s="10">
        <f t="shared" si="921"/>
        <v>27499</v>
      </c>
      <c r="N649" s="10">
        <f t="shared" si="922"/>
        <v>25566</v>
      </c>
      <c r="O649" s="10">
        <f t="shared" si="923"/>
        <v>0</v>
      </c>
      <c r="P649" s="10">
        <f t="shared" si="924"/>
        <v>0</v>
      </c>
      <c r="Q649" s="10">
        <f t="shared" si="925"/>
        <v>36766</v>
      </c>
      <c r="R649" s="10" t="str">
        <f t="shared" si="926"/>
        <v>Yes</v>
      </c>
      <c r="S649" s="10" t="str">
        <f t="shared" si="927"/>
        <v>Salamander Bay Waste Transfer Station</v>
      </c>
      <c r="T649" s="10">
        <f t="shared" si="928"/>
        <v>0</v>
      </c>
      <c r="U649" s="10">
        <f t="shared" si="929"/>
        <v>0</v>
      </c>
      <c r="V649" s="10">
        <f t="shared" si="930"/>
        <v>0</v>
      </c>
      <c r="W649" s="10">
        <f t="shared" si="931"/>
        <v>0</v>
      </c>
      <c r="X649" s="10">
        <f t="shared" si="932"/>
        <v>0</v>
      </c>
      <c r="Y649" s="10">
        <f t="shared" si="933"/>
        <v>0</v>
      </c>
      <c r="Z649" s="10">
        <f t="shared" si="934"/>
        <v>0</v>
      </c>
      <c r="AA649" s="10">
        <f t="shared" si="935"/>
        <v>0</v>
      </c>
      <c r="AB649" s="10">
        <f t="shared" si="936"/>
        <v>0</v>
      </c>
      <c r="AC649" s="10">
        <f t="shared" si="937"/>
        <v>0</v>
      </c>
      <c r="AD649" s="10">
        <f t="shared" si="938"/>
        <v>0</v>
      </c>
      <c r="AE649" s="10">
        <f t="shared" si="939"/>
        <v>0</v>
      </c>
      <c r="AF649" s="10">
        <f t="shared" si="940"/>
        <v>0</v>
      </c>
      <c r="AG649" s="10">
        <f t="shared" si="941"/>
        <v>0</v>
      </c>
      <c r="AH649" s="10">
        <f t="shared" si="942"/>
        <v>0</v>
      </c>
      <c r="AI649" s="10">
        <f t="shared" si="943"/>
        <v>0</v>
      </c>
      <c r="AJ649" s="10">
        <f t="shared" si="944"/>
        <v>0</v>
      </c>
      <c r="AK649" s="10">
        <f t="shared" si="945"/>
        <v>0</v>
      </c>
      <c r="AL649" s="10">
        <f t="shared" si="946"/>
        <v>0</v>
      </c>
      <c r="AM649" s="10">
        <f t="shared" si="947"/>
        <v>0</v>
      </c>
      <c r="AN649" s="46">
        <f t="shared" si="948"/>
        <v>0</v>
      </c>
      <c r="AO649" s="10">
        <f t="shared" si="949"/>
        <v>0</v>
      </c>
      <c r="AP649" s="10">
        <f t="shared" si="950"/>
        <v>0</v>
      </c>
      <c r="AQ649" s="10">
        <f t="shared" si="951"/>
        <v>0</v>
      </c>
      <c r="AR649" s="10">
        <f t="shared" si="952"/>
        <v>0</v>
      </c>
      <c r="AS649" s="10">
        <f t="shared" si="953"/>
        <v>0</v>
      </c>
      <c r="AT649" s="10">
        <f t="shared" si="954"/>
        <v>0</v>
      </c>
      <c r="AU649" s="10">
        <f t="shared" si="955"/>
        <v>0</v>
      </c>
      <c r="AV649" s="10">
        <f t="shared" si="956"/>
        <v>0</v>
      </c>
      <c r="AW649" s="10">
        <f t="shared" si="957"/>
        <v>0</v>
      </c>
      <c r="AX649" s="10">
        <f t="shared" si="958"/>
        <v>0</v>
      </c>
    </row>
    <row r="650" spans="1:50" x14ac:dyDescent="0.2">
      <c r="A650" s="8">
        <v>17000</v>
      </c>
      <c r="B650" s="89" t="str">
        <f t="shared" si="910"/>
        <v>Singleton</v>
      </c>
      <c r="C650" s="9" t="str">
        <f t="shared" si="911"/>
        <v>Hunter</v>
      </c>
      <c r="D650" s="51" t="str">
        <f t="shared" si="912"/>
        <v>R</v>
      </c>
      <c r="E650" s="10" t="str">
        <f t="shared" si="913"/>
        <v>HJO</v>
      </c>
      <c r="F650" s="10">
        <f t="shared" si="914"/>
        <v>23380</v>
      </c>
      <c r="G650" s="10">
        <f t="shared" si="915"/>
        <v>11194</v>
      </c>
      <c r="H650" s="10">
        <f t="shared" si="916"/>
        <v>2.0886189029837414</v>
      </c>
      <c r="I650" s="10">
        <f t="shared" si="917"/>
        <v>4892.7</v>
      </c>
      <c r="J650" s="10">
        <f t="shared" si="918"/>
        <v>4.8</v>
      </c>
      <c r="K650" s="10">
        <f t="shared" si="919"/>
        <v>451</v>
      </c>
      <c r="L650" s="10" t="str">
        <f t="shared" si="920"/>
        <v>Y</v>
      </c>
      <c r="M650" s="10">
        <f t="shared" si="921"/>
        <v>8798</v>
      </c>
      <c r="N650" s="10">
        <f t="shared" si="922"/>
        <v>8905</v>
      </c>
      <c r="O650" s="10">
        <f t="shared" si="923"/>
        <v>6706</v>
      </c>
      <c r="P650" s="10">
        <f t="shared" si="924"/>
        <v>0</v>
      </c>
      <c r="Q650" s="10">
        <f t="shared" si="925"/>
        <v>11194</v>
      </c>
      <c r="R650" s="10" t="str">
        <f t="shared" si="926"/>
        <v>Yes</v>
      </c>
      <c r="S650" s="10" t="str">
        <f t="shared" si="927"/>
        <v>Singleton Waste Management Facility, 53 Dyrring Road FERN GULLY NSW</v>
      </c>
      <c r="T650" s="10" t="str">
        <f t="shared" si="928"/>
        <v>Community Recycling Centre, 53 Dyrring Road FERN GULLY NSW</v>
      </c>
      <c r="U650" s="10">
        <f t="shared" si="929"/>
        <v>0</v>
      </c>
      <c r="V650" s="10">
        <f t="shared" si="930"/>
        <v>0</v>
      </c>
      <c r="W650" s="10">
        <f t="shared" si="931"/>
        <v>0</v>
      </c>
      <c r="X650" s="10">
        <f t="shared" si="932"/>
        <v>0</v>
      </c>
      <c r="Y650" s="10">
        <f t="shared" si="933"/>
        <v>0</v>
      </c>
      <c r="Z650" s="10">
        <f t="shared" si="934"/>
        <v>0</v>
      </c>
      <c r="AA650" s="10">
        <f t="shared" si="935"/>
        <v>0</v>
      </c>
      <c r="AB650" s="10">
        <f t="shared" si="936"/>
        <v>0</v>
      </c>
      <c r="AC650" s="10">
        <f t="shared" si="937"/>
        <v>0</v>
      </c>
      <c r="AD650" s="10">
        <f t="shared" si="938"/>
        <v>0</v>
      </c>
      <c r="AE650" s="10">
        <f t="shared" si="939"/>
        <v>0</v>
      </c>
      <c r="AF650" s="10">
        <f t="shared" si="940"/>
        <v>0</v>
      </c>
      <c r="AG650" s="10">
        <f t="shared" si="941"/>
        <v>0</v>
      </c>
      <c r="AH650" s="10">
        <f t="shared" si="942"/>
        <v>0</v>
      </c>
      <c r="AI650" s="10">
        <f t="shared" si="943"/>
        <v>0</v>
      </c>
      <c r="AJ650" s="10">
        <f t="shared" si="944"/>
        <v>0</v>
      </c>
      <c r="AK650" s="10">
        <f t="shared" si="945"/>
        <v>0</v>
      </c>
      <c r="AL650" s="10">
        <f t="shared" si="946"/>
        <v>0</v>
      </c>
      <c r="AM650" s="10">
        <f t="shared" si="947"/>
        <v>0</v>
      </c>
      <c r="AN650" s="46">
        <f t="shared" si="948"/>
        <v>0</v>
      </c>
      <c r="AO650" s="10">
        <f t="shared" si="949"/>
        <v>0</v>
      </c>
      <c r="AP650" s="10">
        <f t="shared" si="950"/>
        <v>0</v>
      </c>
      <c r="AQ650" s="10">
        <f t="shared" si="951"/>
        <v>0</v>
      </c>
      <c r="AR650" s="10">
        <f t="shared" si="952"/>
        <v>0</v>
      </c>
      <c r="AS650" s="10">
        <f t="shared" si="953"/>
        <v>0</v>
      </c>
      <c r="AT650" s="10">
        <f t="shared" si="954"/>
        <v>0</v>
      </c>
      <c r="AU650" s="10">
        <f t="shared" si="955"/>
        <v>0</v>
      </c>
      <c r="AV650" s="10">
        <f t="shared" si="956"/>
        <v>0</v>
      </c>
      <c r="AW650" s="10">
        <f t="shared" si="957"/>
        <v>0</v>
      </c>
      <c r="AX650" s="10">
        <f t="shared" si="958"/>
        <v>0</v>
      </c>
    </row>
    <row r="651" spans="1:50" ht="13.5" thickBot="1" x14ac:dyDescent="0.25">
      <c r="A651" s="8">
        <v>17620</v>
      </c>
      <c r="B651" s="89" t="str">
        <f t="shared" si="910"/>
        <v>Upper Hunter Shire</v>
      </c>
      <c r="C651" s="9" t="str">
        <f t="shared" si="911"/>
        <v>Hunter</v>
      </c>
      <c r="D651" s="51" t="str">
        <f t="shared" si="912"/>
        <v>R</v>
      </c>
      <c r="E651" s="10" t="str">
        <f t="shared" si="913"/>
        <v>HJO</v>
      </c>
      <c r="F651" s="10">
        <f t="shared" si="914"/>
        <v>14167</v>
      </c>
      <c r="G651" s="10">
        <f t="shared" si="915"/>
        <v>7633</v>
      </c>
      <c r="H651" s="10">
        <f t="shared" si="916"/>
        <v>1.8560199135333422</v>
      </c>
      <c r="I651" s="10">
        <f t="shared" si="917"/>
        <v>8096.1</v>
      </c>
      <c r="J651" s="10">
        <f t="shared" si="918"/>
        <v>1.7</v>
      </c>
      <c r="K651" s="10">
        <f t="shared" si="919"/>
        <v>665</v>
      </c>
      <c r="L651" s="10" t="str">
        <f t="shared" si="920"/>
        <v>Y</v>
      </c>
      <c r="M651" s="10">
        <f t="shared" si="921"/>
        <v>4755</v>
      </c>
      <c r="N651" s="10">
        <f t="shared" si="922"/>
        <v>4704</v>
      </c>
      <c r="O651" s="10">
        <f t="shared" si="923"/>
        <v>0</v>
      </c>
      <c r="P651" s="10">
        <f t="shared" si="924"/>
        <v>0</v>
      </c>
      <c r="Q651" s="10">
        <f t="shared" si="925"/>
        <v>7633</v>
      </c>
      <c r="R651" s="10" t="str">
        <f t="shared" si="926"/>
        <v>Yes</v>
      </c>
      <c r="S651" s="10" t="str">
        <f t="shared" si="927"/>
        <v>Scone WMF Noblet Rd Scone</v>
      </c>
      <c r="T651" s="10" t="str">
        <f t="shared" si="928"/>
        <v>Aberdeen WMF Wells Gully Rd Aberdeen</v>
      </c>
      <c r="U651" s="10" t="str">
        <f t="shared" si="929"/>
        <v>Merriwa WMF Depot Rd Merriwa</v>
      </c>
      <c r="V651" s="10" t="str">
        <f t="shared" si="930"/>
        <v>Murrurundi WMF Halls Rd Murrurundi</v>
      </c>
      <c r="W651" s="10">
        <f t="shared" si="931"/>
        <v>0</v>
      </c>
      <c r="X651" s="10">
        <f t="shared" si="932"/>
        <v>0</v>
      </c>
      <c r="Y651" s="10">
        <f t="shared" si="933"/>
        <v>0</v>
      </c>
      <c r="Z651" s="10">
        <f t="shared" si="934"/>
        <v>0</v>
      </c>
      <c r="AA651" s="10">
        <f t="shared" si="935"/>
        <v>0</v>
      </c>
      <c r="AB651" s="10">
        <f t="shared" si="936"/>
        <v>0</v>
      </c>
      <c r="AC651" s="10">
        <f t="shared" si="937"/>
        <v>0</v>
      </c>
      <c r="AD651" s="10">
        <f t="shared" si="938"/>
        <v>0</v>
      </c>
      <c r="AE651" s="10">
        <f t="shared" si="939"/>
        <v>0</v>
      </c>
      <c r="AF651" s="10">
        <f t="shared" si="940"/>
        <v>0</v>
      </c>
      <c r="AG651" s="10">
        <f t="shared" si="941"/>
        <v>0</v>
      </c>
      <c r="AH651" s="10">
        <f t="shared" si="942"/>
        <v>0</v>
      </c>
      <c r="AI651" s="10">
        <f t="shared" si="943"/>
        <v>0</v>
      </c>
      <c r="AJ651" s="10">
        <f t="shared" si="944"/>
        <v>0</v>
      </c>
      <c r="AK651" s="10">
        <f t="shared" si="945"/>
        <v>0</v>
      </c>
      <c r="AL651" s="10">
        <f t="shared" si="946"/>
        <v>0</v>
      </c>
      <c r="AM651" s="10">
        <f t="shared" si="947"/>
        <v>0</v>
      </c>
      <c r="AN651" s="46">
        <f t="shared" si="948"/>
        <v>0</v>
      </c>
      <c r="AO651" s="10">
        <f t="shared" si="949"/>
        <v>0</v>
      </c>
      <c r="AP651" s="10">
        <f t="shared" si="950"/>
        <v>0</v>
      </c>
      <c r="AQ651" s="10">
        <f t="shared" si="951"/>
        <v>0</v>
      </c>
      <c r="AR651" s="10">
        <f t="shared" si="952"/>
        <v>0</v>
      </c>
      <c r="AS651" s="10">
        <f t="shared" si="953"/>
        <v>0</v>
      </c>
      <c r="AT651" s="10">
        <f t="shared" si="954"/>
        <v>0</v>
      </c>
      <c r="AU651" s="10">
        <f t="shared" si="955"/>
        <v>0</v>
      </c>
      <c r="AV651" s="10">
        <f t="shared" si="956"/>
        <v>0</v>
      </c>
      <c r="AW651" s="10">
        <f t="shared" si="957"/>
        <v>0</v>
      </c>
      <c r="AX651" s="10">
        <f t="shared" si="958"/>
        <v>0</v>
      </c>
    </row>
    <row r="652" spans="1:50" ht="13.5" thickTop="1" x14ac:dyDescent="0.2">
      <c r="A652" s="11"/>
      <c r="B652" s="11"/>
      <c r="C652" s="11" t="s">
        <v>30</v>
      </c>
      <c r="D652" s="11"/>
      <c r="E652" s="12"/>
      <c r="F652" s="13">
        <f>COUNTIF(F642:F651,"&gt;0")</f>
        <v>10</v>
      </c>
      <c r="G652" s="13">
        <f t="shared" ref="G652:AX652" si="959">COUNTIF(G642:G651,"&gt;0")</f>
        <v>10</v>
      </c>
      <c r="H652" s="13">
        <f t="shared" si="959"/>
        <v>10</v>
      </c>
      <c r="I652" s="13">
        <f t="shared" si="959"/>
        <v>10</v>
      </c>
      <c r="J652" s="13">
        <f t="shared" si="959"/>
        <v>10</v>
      </c>
      <c r="K652" s="13">
        <f t="shared" si="959"/>
        <v>10</v>
      </c>
      <c r="L652" s="13">
        <f t="shared" si="959"/>
        <v>0</v>
      </c>
      <c r="M652" s="13">
        <f t="shared" si="959"/>
        <v>10</v>
      </c>
      <c r="N652" s="13">
        <f t="shared" si="959"/>
        <v>10</v>
      </c>
      <c r="O652" s="13">
        <f t="shared" si="959"/>
        <v>6</v>
      </c>
      <c r="P652" s="13">
        <f t="shared" si="959"/>
        <v>1</v>
      </c>
      <c r="Q652" s="13">
        <f t="shared" si="959"/>
        <v>9</v>
      </c>
      <c r="R652" s="13">
        <f t="shared" si="959"/>
        <v>0</v>
      </c>
      <c r="S652" s="13">
        <f t="shared" si="959"/>
        <v>0</v>
      </c>
      <c r="T652" s="13">
        <f t="shared" si="959"/>
        <v>0</v>
      </c>
      <c r="U652" s="13">
        <f t="shared" si="959"/>
        <v>0</v>
      </c>
      <c r="V652" s="13">
        <f t="shared" si="959"/>
        <v>0</v>
      </c>
      <c r="W652" s="13">
        <f t="shared" si="959"/>
        <v>0</v>
      </c>
      <c r="X652" s="13">
        <f t="shared" si="959"/>
        <v>0</v>
      </c>
      <c r="Y652" s="13">
        <f t="shared" si="959"/>
        <v>0</v>
      </c>
      <c r="Z652" s="13">
        <f t="shared" si="959"/>
        <v>0</v>
      </c>
      <c r="AA652" s="13">
        <f t="shared" si="959"/>
        <v>0</v>
      </c>
      <c r="AB652" s="13">
        <f t="shared" si="959"/>
        <v>0</v>
      </c>
      <c r="AC652" s="13">
        <f t="shared" si="959"/>
        <v>0</v>
      </c>
      <c r="AD652" s="13">
        <f t="shared" si="959"/>
        <v>0</v>
      </c>
      <c r="AE652" s="13">
        <f t="shared" si="959"/>
        <v>0</v>
      </c>
      <c r="AF652" s="13">
        <f t="shared" si="959"/>
        <v>0</v>
      </c>
      <c r="AG652" s="13">
        <f t="shared" si="959"/>
        <v>0</v>
      </c>
      <c r="AH652" s="13">
        <f t="shared" si="959"/>
        <v>0</v>
      </c>
      <c r="AI652" s="13">
        <f t="shared" si="959"/>
        <v>0</v>
      </c>
      <c r="AJ652" s="13">
        <f t="shared" si="959"/>
        <v>0</v>
      </c>
      <c r="AK652" s="13">
        <f t="shared" si="959"/>
        <v>0</v>
      </c>
      <c r="AL652" s="13">
        <f t="shared" si="959"/>
        <v>0</v>
      </c>
      <c r="AM652" s="44">
        <f t="shared" si="959"/>
        <v>0</v>
      </c>
      <c r="AN652" s="13">
        <f t="shared" si="959"/>
        <v>0</v>
      </c>
      <c r="AO652" s="13">
        <f t="shared" si="959"/>
        <v>0</v>
      </c>
      <c r="AP652" s="13">
        <f t="shared" si="959"/>
        <v>0</v>
      </c>
      <c r="AQ652" s="13">
        <f t="shared" si="959"/>
        <v>0</v>
      </c>
      <c r="AR652" s="13">
        <f t="shared" si="959"/>
        <v>0</v>
      </c>
      <c r="AS652" s="13">
        <f t="shared" si="959"/>
        <v>0</v>
      </c>
      <c r="AT652" s="13">
        <f t="shared" si="959"/>
        <v>0</v>
      </c>
      <c r="AU652" s="13">
        <f t="shared" si="959"/>
        <v>0</v>
      </c>
      <c r="AV652" s="13">
        <f t="shared" si="959"/>
        <v>0</v>
      </c>
      <c r="AW652" s="13">
        <f t="shared" si="959"/>
        <v>0</v>
      </c>
      <c r="AX652" s="13">
        <f t="shared" si="959"/>
        <v>0</v>
      </c>
    </row>
    <row r="653" spans="1:50" x14ac:dyDescent="0.2">
      <c r="A653" s="8"/>
      <c r="B653" s="8"/>
      <c r="C653" s="8" t="s">
        <v>31</v>
      </c>
      <c r="D653" s="8"/>
      <c r="E653" s="80"/>
      <c r="F653" s="15">
        <f>SUM(F642:F651)</f>
        <v>1007670</v>
      </c>
      <c r="G653" s="15">
        <f t="shared" ref="G653:AX653" si="960">SUM(G642:G651)</f>
        <v>427721</v>
      </c>
      <c r="H653" s="110">
        <f>F653/G653</f>
        <v>2.3559049006244726</v>
      </c>
      <c r="I653" s="15">
        <f t="shared" si="960"/>
        <v>24375.300000000003</v>
      </c>
      <c r="J653" s="15">
        <f t="shared" si="960"/>
        <v>1779</v>
      </c>
      <c r="K653" s="15">
        <f t="shared" si="960"/>
        <v>4906.87</v>
      </c>
      <c r="L653" s="15">
        <f t="shared" si="960"/>
        <v>0</v>
      </c>
      <c r="M653" s="15">
        <f t="shared" si="960"/>
        <v>378818</v>
      </c>
      <c r="N653" s="15">
        <f t="shared" si="960"/>
        <v>369498</v>
      </c>
      <c r="O653" s="15">
        <f t="shared" si="960"/>
        <v>246459</v>
      </c>
      <c r="P653" s="15">
        <f t="shared" si="960"/>
        <v>84741</v>
      </c>
      <c r="Q653" s="15">
        <f t="shared" si="960"/>
        <v>399243</v>
      </c>
      <c r="R653" s="15">
        <f t="shared" si="960"/>
        <v>0</v>
      </c>
      <c r="S653" s="15">
        <f t="shared" si="960"/>
        <v>0</v>
      </c>
      <c r="T653" s="15">
        <f t="shared" si="960"/>
        <v>0</v>
      </c>
      <c r="U653" s="15">
        <f t="shared" si="960"/>
        <v>0</v>
      </c>
      <c r="V653" s="15">
        <f t="shared" si="960"/>
        <v>0</v>
      </c>
      <c r="W653" s="15">
        <f t="shared" si="960"/>
        <v>0</v>
      </c>
      <c r="X653" s="15">
        <f t="shared" si="960"/>
        <v>0</v>
      </c>
      <c r="Y653" s="15">
        <f t="shared" si="960"/>
        <v>0</v>
      </c>
      <c r="Z653" s="15">
        <f t="shared" si="960"/>
        <v>0</v>
      </c>
      <c r="AA653" s="15">
        <f t="shared" si="960"/>
        <v>0</v>
      </c>
      <c r="AB653" s="15">
        <f t="shared" si="960"/>
        <v>0</v>
      </c>
      <c r="AC653" s="15">
        <f t="shared" si="960"/>
        <v>0</v>
      </c>
      <c r="AD653" s="15">
        <f t="shared" si="960"/>
        <v>0</v>
      </c>
      <c r="AE653" s="15">
        <f t="shared" si="960"/>
        <v>0</v>
      </c>
      <c r="AF653" s="15">
        <f t="shared" si="960"/>
        <v>0</v>
      </c>
      <c r="AG653" s="15">
        <f t="shared" si="960"/>
        <v>0</v>
      </c>
      <c r="AH653" s="15">
        <f t="shared" si="960"/>
        <v>0</v>
      </c>
      <c r="AI653" s="15">
        <f t="shared" si="960"/>
        <v>0</v>
      </c>
      <c r="AJ653" s="15">
        <f t="shared" si="960"/>
        <v>0</v>
      </c>
      <c r="AK653" s="15">
        <f t="shared" si="960"/>
        <v>0</v>
      </c>
      <c r="AL653" s="15">
        <f t="shared" si="960"/>
        <v>0</v>
      </c>
      <c r="AM653" s="45">
        <f t="shared" si="960"/>
        <v>0</v>
      </c>
      <c r="AN653" s="15">
        <f t="shared" si="960"/>
        <v>0</v>
      </c>
      <c r="AO653" s="15">
        <f t="shared" si="960"/>
        <v>0</v>
      </c>
      <c r="AP653" s="15">
        <f t="shared" si="960"/>
        <v>0</v>
      </c>
      <c r="AQ653" s="15">
        <f t="shared" si="960"/>
        <v>0</v>
      </c>
      <c r="AR653" s="15">
        <f t="shared" si="960"/>
        <v>0</v>
      </c>
      <c r="AS653" s="15">
        <f t="shared" si="960"/>
        <v>0</v>
      </c>
      <c r="AT653" s="15">
        <f t="shared" si="960"/>
        <v>0</v>
      </c>
      <c r="AU653" s="15">
        <f t="shared" si="960"/>
        <v>0</v>
      </c>
      <c r="AV653" s="15">
        <f t="shared" si="960"/>
        <v>0</v>
      </c>
      <c r="AW653" s="15">
        <f t="shared" si="960"/>
        <v>0</v>
      </c>
      <c r="AX653" s="15">
        <f t="shared" si="960"/>
        <v>0</v>
      </c>
    </row>
    <row r="654" spans="1:50" x14ac:dyDescent="0.2">
      <c r="A654" s="8"/>
      <c r="B654" s="8"/>
      <c r="C654" s="8" t="s">
        <v>32</v>
      </c>
      <c r="D654" s="8"/>
      <c r="E654" s="80"/>
      <c r="F654" s="10">
        <f>MIN(F642:F651)</f>
        <v>9664</v>
      </c>
      <c r="G654" s="10">
        <f t="shared" ref="G654:AX654" si="961">MIN(G642:G651)</f>
        <v>5300</v>
      </c>
      <c r="H654" s="10">
        <f t="shared" si="961"/>
        <v>1.8233962264150942</v>
      </c>
      <c r="I654" s="10">
        <f t="shared" si="961"/>
        <v>186.8</v>
      </c>
      <c r="J654" s="10">
        <f t="shared" si="961"/>
        <v>1.7</v>
      </c>
      <c r="K654" s="10">
        <f t="shared" si="961"/>
        <v>374.52</v>
      </c>
      <c r="L654" s="10">
        <f t="shared" si="961"/>
        <v>0</v>
      </c>
      <c r="M654" s="10">
        <f t="shared" si="961"/>
        <v>3786</v>
      </c>
      <c r="N654" s="10">
        <f t="shared" si="961"/>
        <v>3751</v>
      </c>
      <c r="O654" s="10">
        <f t="shared" si="961"/>
        <v>0</v>
      </c>
      <c r="P654" s="10">
        <f t="shared" si="961"/>
        <v>0</v>
      </c>
      <c r="Q654" s="10">
        <f t="shared" si="961"/>
        <v>0</v>
      </c>
      <c r="R654" s="10">
        <f t="shared" si="961"/>
        <v>0</v>
      </c>
      <c r="S654" s="10">
        <f t="shared" si="961"/>
        <v>0</v>
      </c>
      <c r="T654" s="10">
        <f t="shared" si="961"/>
        <v>0</v>
      </c>
      <c r="U654" s="10">
        <f t="shared" si="961"/>
        <v>0</v>
      </c>
      <c r="V654" s="10">
        <f t="shared" si="961"/>
        <v>0</v>
      </c>
      <c r="W654" s="10">
        <f t="shared" si="961"/>
        <v>0</v>
      </c>
      <c r="X654" s="10">
        <f t="shared" si="961"/>
        <v>0</v>
      </c>
      <c r="Y654" s="10">
        <f t="shared" si="961"/>
        <v>0</v>
      </c>
      <c r="Z654" s="10">
        <f t="shared" si="961"/>
        <v>0</v>
      </c>
      <c r="AA654" s="10">
        <f t="shared" si="961"/>
        <v>0</v>
      </c>
      <c r="AB654" s="10">
        <f t="shared" si="961"/>
        <v>0</v>
      </c>
      <c r="AC654" s="10">
        <f t="shared" si="961"/>
        <v>0</v>
      </c>
      <c r="AD654" s="10">
        <f t="shared" si="961"/>
        <v>0</v>
      </c>
      <c r="AE654" s="10">
        <f t="shared" si="961"/>
        <v>0</v>
      </c>
      <c r="AF654" s="10">
        <f t="shared" si="961"/>
        <v>0</v>
      </c>
      <c r="AG654" s="10">
        <f t="shared" si="961"/>
        <v>0</v>
      </c>
      <c r="AH654" s="10">
        <f t="shared" si="961"/>
        <v>0</v>
      </c>
      <c r="AI654" s="10">
        <f t="shared" si="961"/>
        <v>0</v>
      </c>
      <c r="AJ654" s="10">
        <f t="shared" si="961"/>
        <v>0</v>
      </c>
      <c r="AK654" s="10">
        <f t="shared" si="961"/>
        <v>0</v>
      </c>
      <c r="AL654" s="10">
        <f t="shared" si="961"/>
        <v>0</v>
      </c>
      <c r="AM654" s="46">
        <f t="shared" si="961"/>
        <v>0</v>
      </c>
      <c r="AN654" s="10">
        <f t="shared" si="961"/>
        <v>0</v>
      </c>
      <c r="AO654" s="10">
        <f t="shared" si="961"/>
        <v>0</v>
      </c>
      <c r="AP654" s="10">
        <f t="shared" si="961"/>
        <v>0</v>
      </c>
      <c r="AQ654" s="10">
        <f t="shared" si="961"/>
        <v>0</v>
      </c>
      <c r="AR654" s="10">
        <f t="shared" si="961"/>
        <v>0</v>
      </c>
      <c r="AS654" s="10">
        <f t="shared" si="961"/>
        <v>0</v>
      </c>
      <c r="AT654" s="10">
        <f t="shared" si="961"/>
        <v>0</v>
      </c>
      <c r="AU654" s="10">
        <f t="shared" si="961"/>
        <v>0</v>
      </c>
      <c r="AV654" s="10">
        <f t="shared" si="961"/>
        <v>0</v>
      </c>
      <c r="AW654" s="10">
        <f t="shared" si="961"/>
        <v>0</v>
      </c>
      <c r="AX654" s="10">
        <f t="shared" si="961"/>
        <v>0</v>
      </c>
    </row>
    <row r="655" spans="1:50" x14ac:dyDescent="0.2">
      <c r="A655" s="8"/>
      <c r="B655" s="8"/>
      <c r="C655" s="8" t="s">
        <v>33</v>
      </c>
      <c r="D655" s="8"/>
      <c r="E655" s="80"/>
      <c r="F655" s="10">
        <f>MAX(F642:F651)</f>
        <v>345809</v>
      </c>
      <c r="G655" s="10">
        <f t="shared" ref="G655:AX655" si="962">MAX(G642:G651)</f>
        <v>134461</v>
      </c>
      <c r="H655" s="10">
        <f t="shared" si="962"/>
        <v>2.5718163631090056</v>
      </c>
      <c r="I655" s="10">
        <f t="shared" si="962"/>
        <v>8096.1</v>
      </c>
      <c r="J655" s="10">
        <f t="shared" si="962"/>
        <v>896.2</v>
      </c>
      <c r="K655" s="10">
        <f t="shared" si="962"/>
        <v>665</v>
      </c>
      <c r="L655" s="10">
        <f t="shared" si="962"/>
        <v>0</v>
      </c>
      <c r="M655" s="10">
        <f t="shared" si="962"/>
        <v>134461</v>
      </c>
      <c r="N655" s="10">
        <f t="shared" si="962"/>
        <v>128460</v>
      </c>
      <c r="O655" s="10">
        <f t="shared" si="962"/>
        <v>124758</v>
      </c>
      <c r="P655" s="10">
        <f t="shared" si="962"/>
        <v>84741</v>
      </c>
      <c r="Q655" s="10">
        <f t="shared" si="962"/>
        <v>134461</v>
      </c>
      <c r="R655" s="10">
        <f t="shared" si="962"/>
        <v>0</v>
      </c>
      <c r="S655" s="10">
        <f t="shared" si="962"/>
        <v>0</v>
      </c>
      <c r="T655" s="10">
        <f t="shared" si="962"/>
        <v>0</v>
      </c>
      <c r="U655" s="10">
        <f t="shared" si="962"/>
        <v>0</v>
      </c>
      <c r="V655" s="10">
        <f t="shared" si="962"/>
        <v>0</v>
      </c>
      <c r="W655" s="10">
        <f t="shared" si="962"/>
        <v>0</v>
      </c>
      <c r="X655" s="10">
        <f t="shared" si="962"/>
        <v>0</v>
      </c>
      <c r="Y655" s="10">
        <f t="shared" si="962"/>
        <v>0</v>
      </c>
      <c r="Z655" s="10">
        <f t="shared" si="962"/>
        <v>0</v>
      </c>
      <c r="AA655" s="10">
        <f t="shared" si="962"/>
        <v>0</v>
      </c>
      <c r="AB655" s="10">
        <f t="shared" si="962"/>
        <v>0</v>
      </c>
      <c r="AC655" s="10">
        <f t="shared" si="962"/>
        <v>0</v>
      </c>
      <c r="AD655" s="10">
        <f t="shared" si="962"/>
        <v>0</v>
      </c>
      <c r="AE655" s="10">
        <f t="shared" si="962"/>
        <v>0</v>
      </c>
      <c r="AF655" s="10">
        <f t="shared" si="962"/>
        <v>0</v>
      </c>
      <c r="AG655" s="10">
        <f t="shared" si="962"/>
        <v>0</v>
      </c>
      <c r="AH655" s="10">
        <f t="shared" si="962"/>
        <v>0</v>
      </c>
      <c r="AI655" s="10">
        <f t="shared" si="962"/>
        <v>0</v>
      </c>
      <c r="AJ655" s="10">
        <f t="shared" si="962"/>
        <v>0</v>
      </c>
      <c r="AK655" s="10">
        <f t="shared" si="962"/>
        <v>0</v>
      </c>
      <c r="AL655" s="10">
        <f t="shared" si="962"/>
        <v>0</v>
      </c>
      <c r="AM655" s="46">
        <f t="shared" si="962"/>
        <v>0</v>
      </c>
      <c r="AN655" s="10">
        <f t="shared" si="962"/>
        <v>0</v>
      </c>
      <c r="AO655" s="10">
        <f t="shared" si="962"/>
        <v>0</v>
      </c>
      <c r="AP655" s="10">
        <f t="shared" si="962"/>
        <v>0</v>
      </c>
      <c r="AQ655" s="10">
        <f t="shared" si="962"/>
        <v>0</v>
      </c>
      <c r="AR655" s="10">
        <f t="shared" si="962"/>
        <v>0</v>
      </c>
      <c r="AS655" s="10">
        <f t="shared" si="962"/>
        <v>0</v>
      </c>
      <c r="AT655" s="10">
        <f t="shared" si="962"/>
        <v>0</v>
      </c>
      <c r="AU655" s="10">
        <f t="shared" si="962"/>
        <v>0</v>
      </c>
      <c r="AV655" s="10">
        <f t="shared" si="962"/>
        <v>0</v>
      </c>
      <c r="AW655" s="10">
        <f t="shared" si="962"/>
        <v>0</v>
      </c>
      <c r="AX655" s="10">
        <f t="shared" si="962"/>
        <v>0</v>
      </c>
    </row>
    <row r="656" spans="1:50" x14ac:dyDescent="0.2">
      <c r="A656" s="8"/>
      <c r="B656" s="8"/>
      <c r="C656" s="8" t="s">
        <v>34</v>
      </c>
      <c r="D656" s="8"/>
      <c r="E656" s="80"/>
      <c r="F656" s="10">
        <f>AVERAGE(F642:F651)</f>
        <v>100767</v>
      </c>
      <c r="G656" s="10">
        <f t="shared" ref="G656:AX656" si="963">AVERAGE(G642:G651)</f>
        <v>42772.1</v>
      </c>
      <c r="H656" s="10">
        <f t="shared" si="963"/>
        <v>2.1674600106876309</v>
      </c>
      <c r="I656" s="10">
        <f t="shared" si="963"/>
        <v>2437.5300000000002</v>
      </c>
      <c r="J656" s="10">
        <f t="shared" si="963"/>
        <v>177.9</v>
      </c>
      <c r="K656" s="10">
        <f t="shared" si="963"/>
        <v>490.68700000000001</v>
      </c>
      <c r="L656" s="10" t="e">
        <f t="shared" si="963"/>
        <v>#DIV/0!</v>
      </c>
      <c r="M656" s="10">
        <f t="shared" si="963"/>
        <v>37881.800000000003</v>
      </c>
      <c r="N656" s="10">
        <f t="shared" si="963"/>
        <v>36949.800000000003</v>
      </c>
      <c r="O656" s="10">
        <f t="shared" si="963"/>
        <v>24645.9</v>
      </c>
      <c r="P656" s="10">
        <f t="shared" si="963"/>
        <v>8474.1</v>
      </c>
      <c r="Q656" s="10">
        <f t="shared" si="963"/>
        <v>39924.300000000003</v>
      </c>
      <c r="R656" s="10" t="e">
        <f t="shared" si="963"/>
        <v>#DIV/0!</v>
      </c>
      <c r="S656" s="10" t="e">
        <f t="shared" si="963"/>
        <v>#DIV/0!</v>
      </c>
      <c r="T656" s="10">
        <f t="shared" si="963"/>
        <v>0</v>
      </c>
      <c r="U656" s="10">
        <f t="shared" si="963"/>
        <v>0</v>
      </c>
      <c r="V656" s="10">
        <f t="shared" si="963"/>
        <v>0</v>
      </c>
      <c r="W656" s="10">
        <f t="shared" si="963"/>
        <v>0</v>
      </c>
      <c r="X656" s="10">
        <f t="shared" si="963"/>
        <v>0</v>
      </c>
      <c r="Y656" s="10">
        <f t="shared" si="963"/>
        <v>0</v>
      </c>
      <c r="Z656" s="10">
        <f t="shared" si="963"/>
        <v>0</v>
      </c>
      <c r="AA656" s="10">
        <f t="shared" si="963"/>
        <v>0</v>
      </c>
      <c r="AB656" s="10">
        <f t="shared" si="963"/>
        <v>0</v>
      </c>
      <c r="AC656" s="10">
        <f t="shared" si="963"/>
        <v>0</v>
      </c>
      <c r="AD656" s="10">
        <f t="shared" si="963"/>
        <v>0</v>
      </c>
      <c r="AE656" s="10">
        <f t="shared" si="963"/>
        <v>0</v>
      </c>
      <c r="AF656" s="10">
        <f t="shared" si="963"/>
        <v>0</v>
      </c>
      <c r="AG656" s="10">
        <f t="shared" si="963"/>
        <v>0</v>
      </c>
      <c r="AH656" s="10">
        <f t="shared" si="963"/>
        <v>0</v>
      </c>
      <c r="AI656" s="10">
        <f t="shared" si="963"/>
        <v>0</v>
      </c>
      <c r="AJ656" s="10">
        <f t="shared" si="963"/>
        <v>0</v>
      </c>
      <c r="AK656" s="10">
        <f t="shared" si="963"/>
        <v>0</v>
      </c>
      <c r="AL656" s="10">
        <f t="shared" si="963"/>
        <v>0</v>
      </c>
      <c r="AM656" s="46">
        <f t="shared" si="963"/>
        <v>0</v>
      </c>
      <c r="AN656" s="10">
        <f t="shared" si="963"/>
        <v>0</v>
      </c>
      <c r="AO656" s="10">
        <f t="shared" si="963"/>
        <v>0</v>
      </c>
      <c r="AP656" s="10">
        <f t="shared" si="963"/>
        <v>0</v>
      </c>
      <c r="AQ656" s="10">
        <f t="shared" si="963"/>
        <v>0</v>
      </c>
      <c r="AR656" s="10">
        <f t="shared" si="963"/>
        <v>0</v>
      </c>
      <c r="AS656" s="10">
        <f t="shared" si="963"/>
        <v>0</v>
      </c>
      <c r="AT656" s="10">
        <f t="shared" si="963"/>
        <v>0</v>
      </c>
      <c r="AU656" s="10">
        <f t="shared" si="963"/>
        <v>0</v>
      </c>
      <c r="AV656" s="10">
        <f t="shared" si="963"/>
        <v>0</v>
      </c>
      <c r="AW656" s="10">
        <f t="shared" si="963"/>
        <v>0</v>
      </c>
      <c r="AX656" s="10">
        <f t="shared" si="963"/>
        <v>0</v>
      </c>
    </row>
    <row r="657" spans="1:50" ht="13.5" thickBot="1" x14ac:dyDescent="0.25">
      <c r="A657" s="16"/>
      <c r="B657" s="16"/>
      <c r="C657" s="16" t="s">
        <v>35</v>
      </c>
      <c r="D657" s="16"/>
      <c r="E657" s="80"/>
      <c r="F657" s="18">
        <f>MEDIAN(F642:F651)</f>
        <v>67881</v>
      </c>
      <c r="G657" s="18">
        <f t="shared" ref="G657:AX657" si="964">MEDIAN(G642:G651)</f>
        <v>32144</v>
      </c>
      <c r="H657" s="18">
        <f t="shared" si="964"/>
        <v>2.119806326272403</v>
      </c>
      <c r="I657" s="18">
        <f t="shared" si="964"/>
        <v>1823.15</v>
      </c>
      <c r="J657" s="18">
        <f t="shared" si="964"/>
        <v>59</v>
      </c>
      <c r="K657" s="18">
        <f t="shared" si="964"/>
        <v>453.5</v>
      </c>
      <c r="L657" s="18" t="e">
        <f t="shared" si="964"/>
        <v>#NUM!</v>
      </c>
      <c r="M657" s="18">
        <f t="shared" si="964"/>
        <v>25609</v>
      </c>
      <c r="N657" s="18">
        <f t="shared" si="964"/>
        <v>24765.5</v>
      </c>
      <c r="O657" s="18">
        <f t="shared" si="964"/>
        <v>6219</v>
      </c>
      <c r="P657" s="18">
        <f t="shared" si="964"/>
        <v>0</v>
      </c>
      <c r="Q657" s="18">
        <f t="shared" si="964"/>
        <v>23502</v>
      </c>
      <c r="R657" s="18" t="e">
        <f t="shared" si="964"/>
        <v>#NUM!</v>
      </c>
      <c r="S657" s="18" t="e">
        <f t="shared" si="964"/>
        <v>#NUM!</v>
      </c>
      <c r="T657" s="18">
        <f t="shared" si="964"/>
        <v>0</v>
      </c>
      <c r="U657" s="18">
        <f t="shared" si="964"/>
        <v>0</v>
      </c>
      <c r="V657" s="18">
        <f t="shared" si="964"/>
        <v>0</v>
      </c>
      <c r="W657" s="18">
        <f t="shared" si="964"/>
        <v>0</v>
      </c>
      <c r="X657" s="18">
        <f t="shared" si="964"/>
        <v>0</v>
      </c>
      <c r="Y657" s="18">
        <f t="shared" si="964"/>
        <v>0</v>
      </c>
      <c r="Z657" s="18">
        <f t="shared" si="964"/>
        <v>0</v>
      </c>
      <c r="AA657" s="18">
        <f t="shared" si="964"/>
        <v>0</v>
      </c>
      <c r="AB657" s="18">
        <f t="shared" si="964"/>
        <v>0</v>
      </c>
      <c r="AC657" s="18">
        <f t="shared" si="964"/>
        <v>0</v>
      </c>
      <c r="AD657" s="18">
        <f t="shared" si="964"/>
        <v>0</v>
      </c>
      <c r="AE657" s="18">
        <f t="shared" si="964"/>
        <v>0</v>
      </c>
      <c r="AF657" s="18">
        <f t="shared" si="964"/>
        <v>0</v>
      </c>
      <c r="AG657" s="18">
        <f t="shared" si="964"/>
        <v>0</v>
      </c>
      <c r="AH657" s="18">
        <f t="shared" si="964"/>
        <v>0</v>
      </c>
      <c r="AI657" s="18">
        <f t="shared" si="964"/>
        <v>0</v>
      </c>
      <c r="AJ657" s="18">
        <f t="shared" si="964"/>
        <v>0</v>
      </c>
      <c r="AK657" s="18">
        <f t="shared" si="964"/>
        <v>0</v>
      </c>
      <c r="AL657" s="18">
        <f t="shared" si="964"/>
        <v>0</v>
      </c>
      <c r="AM657" s="47">
        <f t="shared" si="964"/>
        <v>0</v>
      </c>
      <c r="AN657" s="18">
        <f t="shared" si="964"/>
        <v>0</v>
      </c>
      <c r="AO657" s="18">
        <f t="shared" si="964"/>
        <v>0</v>
      </c>
      <c r="AP657" s="18">
        <f t="shared" si="964"/>
        <v>0</v>
      </c>
      <c r="AQ657" s="18">
        <f t="shared" si="964"/>
        <v>0</v>
      </c>
      <c r="AR657" s="18">
        <f t="shared" si="964"/>
        <v>0</v>
      </c>
      <c r="AS657" s="18">
        <f t="shared" si="964"/>
        <v>0</v>
      </c>
      <c r="AT657" s="18">
        <f t="shared" si="964"/>
        <v>0</v>
      </c>
      <c r="AU657" s="18">
        <f t="shared" si="964"/>
        <v>0</v>
      </c>
      <c r="AV657" s="18">
        <f t="shared" si="964"/>
        <v>0</v>
      </c>
      <c r="AW657" s="18">
        <f t="shared" si="964"/>
        <v>0</v>
      </c>
      <c r="AX657" s="18">
        <f t="shared" si="964"/>
        <v>0</v>
      </c>
    </row>
    <row r="658" spans="1:50" ht="13.5" thickTop="1" x14ac:dyDescent="0.2">
      <c r="B658"/>
      <c r="C658" s="5"/>
      <c r="D658" s="5"/>
    </row>
    <row r="659" spans="1:50" ht="13.5" thickBot="1" x14ac:dyDescent="0.25">
      <c r="A659" s="25"/>
      <c r="B659" s="25"/>
      <c r="C659" s="27" t="s">
        <v>18</v>
      </c>
      <c r="D659" s="27"/>
    </row>
    <row r="660" spans="1:50" ht="13.5" thickTop="1" x14ac:dyDescent="0.2">
      <c r="A660" s="8">
        <v>10500</v>
      </c>
      <c r="B660" s="89" t="str">
        <f t="shared" ref="B660:B670" si="965">VLOOKUP($A660,$A$5:$K$132,2,FALSE)</f>
        <v xml:space="preserve">Bayside Council </v>
      </c>
      <c r="C660" s="9" t="str">
        <f t="shared" ref="C660:C670" si="966">VLOOKUP($A660,$A$5:$K$133,3,FALSE)</f>
        <v>SSROC</v>
      </c>
      <c r="D660" s="51" t="str">
        <f t="shared" ref="D660:D670" si="967">VLOOKUP($A660,$A$5:$K$133,4,FALSE)</f>
        <v>S</v>
      </c>
      <c r="E660" s="10">
        <f t="shared" ref="E660:E670" si="968">VLOOKUP($A660,$A$5:$AX$132,5,FALSE)</f>
        <v>0</v>
      </c>
      <c r="F660" s="10">
        <f t="shared" ref="F660:F670" si="969">VLOOKUP($A660,$A$5:$AX$132,6,FALSE)</f>
        <v>181472</v>
      </c>
      <c r="G660" s="10">
        <f t="shared" ref="G660:G670" si="970">VLOOKUP($A660,$A$5:$AX$132,7,FALSE)</f>
        <v>66666</v>
      </c>
      <c r="H660" s="10">
        <f t="shared" ref="H660:H670" si="971">VLOOKUP($A660,$A$5:$AX$132,8,FALSE)</f>
        <v>2.7221072210722106</v>
      </c>
      <c r="I660" s="10">
        <f t="shared" ref="I660:I670" si="972">VLOOKUP($A660,$A$5:$AX$132,9,FALSE)</f>
        <v>49.9</v>
      </c>
      <c r="J660" s="10">
        <f t="shared" ref="J660:J670" si="973">VLOOKUP($A660,$A$5:$AX$132,10,FALSE)</f>
        <v>3637.4</v>
      </c>
      <c r="K660" s="10">
        <f t="shared" ref="K660:K670" si="974">VLOOKUP($A660,$A$5:$AX$132,11,FALSE)</f>
        <v>517.08000000000004</v>
      </c>
      <c r="L660" s="10" t="str">
        <f t="shared" ref="L660:L670" si="975">VLOOKUP($A660,$A$4:$AX$132,12,FALSE)</f>
        <v>Y</v>
      </c>
      <c r="M660" s="10">
        <f t="shared" ref="M660:M670" si="976">VLOOKUP($A660,$A$4:$AX$132,13,FALSE)</f>
        <v>66666</v>
      </c>
      <c r="N660" s="10">
        <f t="shared" ref="N660:N670" si="977">VLOOKUP($A660,$A$4:$AX$132,14,FALSE)</f>
        <v>65966</v>
      </c>
      <c r="O660" s="10">
        <f t="shared" ref="O660:O670" si="978">VLOOKUP($A660,$A$4:$AX$132,15,FALSE)</f>
        <v>16102</v>
      </c>
      <c r="P660" s="10">
        <f t="shared" ref="P660:P670" si="979">VLOOKUP($A660,$A$4:$AX$132,16,FALSE)</f>
        <v>0</v>
      </c>
      <c r="Q660" s="10">
        <f t="shared" ref="Q660:Q670" si="980">VLOOKUP($A660,$A$4:$AX$132,17,FALSE)</f>
        <v>66666</v>
      </c>
      <c r="R660" s="10" t="str">
        <f t="shared" ref="R660:R670" si="981">VLOOKUP($A660,$A$4:$AX$132,18,FALSE)</f>
        <v>Yes</v>
      </c>
      <c r="S660" s="10" t="str">
        <f t="shared" ref="S660:S670" si="982">VLOOKUP($A660,$A$4:$AX$132,19,FALSE)</f>
        <v>N/A</v>
      </c>
      <c r="T660" s="10">
        <f t="shared" ref="T660:T670" si="983">VLOOKUP($A660,$A$4:$AX$132,20,FALSE)</f>
        <v>0</v>
      </c>
      <c r="U660" s="10">
        <f t="shared" ref="U660:U670" si="984">VLOOKUP($A660,$A$4:$AX$132,21,FALSE)</f>
        <v>0</v>
      </c>
      <c r="V660" s="10">
        <f t="shared" ref="V660:V670" si="985">VLOOKUP($A660,$A$4:$AX$132,22,FALSE)</f>
        <v>0</v>
      </c>
      <c r="W660" s="10">
        <f t="shared" ref="W660:W670" si="986">VLOOKUP($A660,$A$4:$AX$132,23,FALSE)</f>
        <v>0</v>
      </c>
      <c r="X660" s="10">
        <f t="shared" ref="X660:X670" si="987">VLOOKUP($A660,$A$4:$AX$132,24,FALSE)</f>
        <v>0</v>
      </c>
      <c r="Y660" s="10">
        <f t="shared" ref="Y660:Y670" si="988">VLOOKUP($A660,$A$4:$AX$132,25,FALSE)</f>
        <v>0</v>
      </c>
      <c r="Z660" s="10">
        <f t="shared" ref="Z660:Z670" si="989">VLOOKUP($A660,$A$4:$AX$132,26,FALSE)</f>
        <v>0</v>
      </c>
      <c r="AA660" s="10">
        <f t="shared" ref="AA660:AA670" si="990">VLOOKUP($A660,$A$4:$AX$132,27,FALSE)</f>
        <v>0</v>
      </c>
      <c r="AB660" s="10">
        <f t="shared" ref="AB660:AB670" si="991">VLOOKUP($A660,$A$4:$AX$132,28,FALSE)</f>
        <v>0</v>
      </c>
      <c r="AC660" s="10">
        <f t="shared" ref="AC660:AC670" si="992">VLOOKUP($A660,$A$4:$AX$132,29,FALSE)</f>
        <v>0</v>
      </c>
      <c r="AD660" s="10">
        <f t="shared" ref="AD660:AD670" si="993">VLOOKUP($A660,$A$4:$AX$132,30,FALSE)</f>
        <v>0</v>
      </c>
      <c r="AE660" s="10">
        <f t="shared" ref="AE660:AE670" si="994">VLOOKUP($A660,$A$4:$AX$132,31,FALSE)</f>
        <v>0</v>
      </c>
      <c r="AF660" s="10">
        <f t="shared" ref="AF660:AF670" si="995">VLOOKUP($A660,$A$4:$AX$132,32,FALSE)</f>
        <v>0</v>
      </c>
      <c r="AG660" s="10">
        <f t="shared" ref="AG660:AG670" si="996">VLOOKUP($A660,$A$4:$AX$132,33,FALSE)</f>
        <v>0</v>
      </c>
      <c r="AH660" s="10">
        <f t="shared" ref="AH660:AH670" si="997">VLOOKUP($A660,$A$4:$AX$132,34,FALSE)</f>
        <v>0</v>
      </c>
      <c r="AI660" s="10">
        <f t="shared" ref="AI660:AI670" si="998">VLOOKUP($A660,$A$4:$AX$132,35,FALSE)</f>
        <v>0</v>
      </c>
      <c r="AJ660" s="10">
        <f t="shared" ref="AJ660:AJ670" si="999">VLOOKUP($A660,$A$4:$AX$132,36,FALSE)</f>
        <v>0</v>
      </c>
      <c r="AK660" s="10">
        <f t="shared" ref="AK660:AK670" si="1000">VLOOKUP($A660,$A$4:$AX$132,37,FALSE)</f>
        <v>0</v>
      </c>
      <c r="AL660" s="10">
        <f t="shared" ref="AL660:AL670" si="1001">VLOOKUP($A660,$A$4:$AX$132,38,FALSE)</f>
        <v>0</v>
      </c>
      <c r="AM660" s="10">
        <f t="shared" ref="AM660:AM670" si="1002">VLOOKUP($A660,$A$4:$AX$132,39,FALSE)</f>
        <v>0</v>
      </c>
      <c r="AN660" s="46">
        <f t="shared" ref="AN660:AN670" si="1003">VLOOKUP($A660,$A$4:$AX$132,40,FALSE)</f>
        <v>0</v>
      </c>
      <c r="AO660" s="10">
        <f t="shared" ref="AO660:AO670" si="1004">VLOOKUP($A660,$A$4:$AX$132,41,FALSE)</f>
        <v>0</v>
      </c>
      <c r="AP660" s="10">
        <f t="shared" ref="AP660:AP670" si="1005">VLOOKUP($A660,$A$4:$AX$132,42,FALSE)</f>
        <v>0</v>
      </c>
      <c r="AQ660" s="10">
        <f t="shared" ref="AQ660:AQ670" si="1006">VLOOKUP($A660,$A$4:$AX$132,43,FALSE)</f>
        <v>0</v>
      </c>
      <c r="AR660" s="10">
        <f t="shared" ref="AR660:AR670" si="1007">VLOOKUP($A660,$A$4:$AX$132,44,FALSE)</f>
        <v>0</v>
      </c>
      <c r="AS660" s="10">
        <f t="shared" ref="AS660:AS670" si="1008">VLOOKUP($A660,$A$4:$AX$132,45,FALSE)</f>
        <v>0</v>
      </c>
      <c r="AT660" s="10">
        <f t="shared" ref="AT660:AT670" si="1009">VLOOKUP($A660,$A$4:$AX$132,46,FALSE)</f>
        <v>0</v>
      </c>
      <c r="AU660" s="10">
        <f t="shared" ref="AU660:AU670" si="1010">VLOOKUP($A660,$A$4:$AX$132,47,FALSE)</f>
        <v>0</v>
      </c>
      <c r="AV660" s="10">
        <f t="shared" ref="AV660:AV670" si="1011">VLOOKUP($A660,$A$4:$AX$132,48,FALSE)</f>
        <v>0</v>
      </c>
      <c r="AW660" s="10">
        <f t="shared" ref="AW660:AW670" si="1012">VLOOKUP($A660,$A$4:$AX$132,49,FALSE)</f>
        <v>0</v>
      </c>
      <c r="AX660" s="10">
        <f t="shared" ref="AX660:AX670" si="1013">VLOOKUP($A660,$A$4:$AX$132,50,FALSE)</f>
        <v>0</v>
      </c>
    </row>
    <row r="661" spans="1:50" x14ac:dyDescent="0.2">
      <c r="A661" s="8">
        <v>11300</v>
      </c>
      <c r="B661" s="89" t="str">
        <f t="shared" si="965"/>
        <v>Burwood</v>
      </c>
      <c r="C661" s="9" t="str">
        <f t="shared" si="966"/>
        <v>SSROC</v>
      </c>
      <c r="D661" s="51" t="str">
        <f t="shared" si="967"/>
        <v>S</v>
      </c>
      <c r="E661" s="10">
        <f t="shared" si="968"/>
        <v>0</v>
      </c>
      <c r="F661" s="10">
        <f t="shared" si="969"/>
        <v>40866</v>
      </c>
      <c r="G661" s="10">
        <f t="shared" si="970"/>
        <v>14361</v>
      </c>
      <c r="H661" s="10">
        <f t="shared" si="971"/>
        <v>2.8456235638186755</v>
      </c>
      <c r="I661" s="10">
        <f t="shared" si="972"/>
        <v>7.1</v>
      </c>
      <c r="J661" s="10">
        <f t="shared" si="973"/>
        <v>5733.1</v>
      </c>
      <c r="K661" s="10">
        <f t="shared" si="974"/>
        <v>419.5</v>
      </c>
      <c r="L661" s="10" t="str">
        <f t="shared" si="975"/>
        <v>Y</v>
      </c>
      <c r="M661" s="10">
        <f t="shared" si="976"/>
        <v>14190</v>
      </c>
      <c r="N661" s="10">
        <f t="shared" si="977"/>
        <v>14361</v>
      </c>
      <c r="O661" s="10">
        <f t="shared" si="978"/>
        <v>14361</v>
      </c>
      <c r="P661" s="10">
        <f t="shared" si="979"/>
        <v>0</v>
      </c>
      <c r="Q661" s="10">
        <f t="shared" si="980"/>
        <v>14361</v>
      </c>
      <c r="R661" s="10" t="str">
        <f t="shared" si="981"/>
        <v>Yes</v>
      </c>
      <c r="S661" s="10" t="str">
        <f t="shared" si="982"/>
        <v>Council Operations Centre, Kingsbury Street Croydon Park</v>
      </c>
      <c r="T661" s="10">
        <f t="shared" si="983"/>
        <v>0</v>
      </c>
      <c r="U661" s="10">
        <f t="shared" si="984"/>
        <v>0</v>
      </c>
      <c r="V661" s="10">
        <f t="shared" si="985"/>
        <v>0</v>
      </c>
      <c r="W661" s="10">
        <f t="shared" si="986"/>
        <v>0</v>
      </c>
      <c r="X661" s="10">
        <f t="shared" si="987"/>
        <v>0</v>
      </c>
      <c r="Y661" s="10">
        <f t="shared" si="988"/>
        <v>0</v>
      </c>
      <c r="Z661" s="10">
        <f t="shared" si="989"/>
        <v>0</v>
      </c>
      <c r="AA661" s="10">
        <f t="shared" si="990"/>
        <v>0</v>
      </c>
      <c r="AB661" s="10">
        <f t="shared" si="991"/>
        <v>0</v>
      </c>
      <c r="AC661" s="10">
        <f t="shared" si="992"/>
        <v>0</v>
      </c>
      <c r="AD661" s="10">
        <f t="shared" si="993"/>
        <v>0</v>
      </c>
      <c r="AE661" s="10">
        <f t="shared" si="994"/>
        <v>0</v>
      </c>
      <c r="AF661" s="10">
        <f t="shared" si="995"/>
        <v>0</v>
      </c>
      <c r="AG661" s="10">
        <f t="shared" si="996"/>
        <v>0</v>
      </c>
      <c r="AH661" s="10">
        <f t="shared" si="997"/>
        <v>0</v>
      </c>
      <c r="AI661" s="10">
        <f t="shared" si="998"/>
        <v>0</v>
      </c>
      <c r="AJ661" s="10">
        <f t="shared" si="999"/>
        <v>0</v>
      </c>
      <c r="AK661" s="10">
        <f t="shared" si="1000"/>
        <v>0</v>
      </c>
      <c r="AL661" s="10">
        <f t="shared" si="1001"/>
        <v>0</v>
      </c>
      <c r="AM661" s="10">
        <f t="shared" si="1002"/>
        <v>0</v>
      </c>
      <c r="AN661" s="46">
        <f t="shared" si="1003"/>
        <v>0</v>
      </c>
      <c r="AO661" s="10">
        <f t="shared" si="1004"/>
        <v>0</v>
      </c>
      <c r="AP661" s="10">
        <f t="shared" si="1005"/>
        <v>0</v>
      </c>
      <c r="AQ661" s="10">
        <f t="shared" si="1006"/>
        <v>0</v>
      </c>
      <c r="AR661" s="10">
        <f t="shared" si="1007"/>
        <v>0</v>
      </c>
      <c r="AS661" s="10">
        <f t="shared" si="1008"/>
        <v>0</v>
      </c>
      <c r="AT661" s="10">
        <f t="shared" si="1009"/>
        <v>0</v>
      </c>
      <c r="AU661" s="10">
        <f t="shared" si="1010"/>
        <v>0</v>
      </c>
      <c r="AV661" s="10">
        <f t="shared" si="1011"/>
        <v>0</v>
      </c>
      <c r="AW661" s="10">
        <f t="shared" si="1012"/>
        <v>0</v>
      </c>
      <c r="AX661" s="10">
        <f t="shared" si="1013"/>
        <v>0</v>
      </c>
    </row>
    <row r="662" spans="1:50" x14ac:dyDescent="0.2">
      <c r="A662" s="8">
        <v>11520</v>
      </c>
      <c r="B662" s="89" t="str">
        <f t="shared" si="965"/>
        <v>Canada Bay</v>
      </c>
      <c r="C662" s="9" t="str">
        <f t="shared" si="966"/>
        <v>SSROC</v>
      </c>
      <c r="D662" s="51" t="str">
        <f t="shared" si="967"/>
        <v>S</v>
      </c>
      <c r="E662" s="10">
        <f t="shared" si="968"/>
        <v>0</v>
      </c>
      <c r="F662" s="10">
        <f t="shared" si="969"/>
        <v>96550</v>
      </c>
      <c r="G662" s="10">
        <f t="shared" si="970"/>
        <v>38344</v>
      </c>
      <c r="H662" s="10">
        <f t="shared" si="971"/>
        <v>2.5179949926976843</v>
      </c>
      <c r="I662" s="10">
        <f t="shared" si="972"/>
        <v>19.899999999999999</v>
      </c>
      <c r="J662" s="10">
        <f t="shared" si="973"/>
        <v>4846.1000000000004</v>
      </c>
      <c r="K662" s="10">
        <f t="shared" si="974"/>
        <v>425</v>
      </c>
      <c r="L662" s="10" t="str">
        <f t="shared" si="975"/>
        <v>Y</v>
      </c>
      <c r="M662" s="10">
        <f t="shared" si="976"/>
        <v>37257</v>
      </c>
      <c r="N662" s="10">
        <f t="shared" si="977"/>
        <v>38344</v>
      </c>
      <c r="O662" s="10">
        <f t="shared" si="978"/>
        <v>38344</v>
      </c>
      <c r="P662" s="10">
        <f t="shared" si="979"/>
        <v>0</v>
      </c>
      <c r="Q662" s="10">
        <f t="shared" si="980"/>
        <v>38344</v>
      </c>
      <c r="R662" s="10" t="str">
        <f t="shared" si="981"/>
        <v>Yes</v>
      </c>
      <c r="S662" s="10" t="str">
        <f t="shared" si="982"/>
        <v>Community Recycling Centre Five Dock</v>
      </c>
      <c r="T662" s="10">
        <f t="shared" si="983"/>
        <v>0</v>
      </c>
      <c r="U662" s="10">
        <f t="shared" si="984"/>
        <v>0</v>
      </c>
      <c r="V662" s="10">
        <f t="shared" si="985"/>
        <v>0</v>
      </c>
      <c r="W662" s="10">
        <f t="shared" si="986"/>
        <v>0</v>
      </c>
      <c r="X662" s="10">
        <f t="shared" si="987"/>
        <v>0</v>
      </c>
      <c r="Y662" s="10">
        <f t="shared" si="988"/>
        <v>0</v>
      </c>
      <c r="Z662" s="10">
        <f t="shared" si="989"/>
        <v>0</v>
      </c>
      <c r="AA662" s="10">
        <f t="shared" si="990"/>
        <v>0</v>
      </c>
      <c r="AB662" s="10">
        <f t="shared" si="991"/>
        <v>0</v>
      </c>
      <c r="AC662" s="10">
        <f t="shared" si="992"/>
        <v>0</v>
      </c>
      <c r="AD662" s="10">
        <f t="shared" si="993"/>
        <v>0</v>
      </c>
      <c r="AE662" s="10">
        <f t="shared" si="994"/>
        <v>0</v>
      </c>
      <c r="AF662" s="10">
        <f t="shared" si="995"/>
        <v>0</v>
      </c>
      <c r="AG662" s="10">
        <f t="shared" si="996"/>
        <v>0</v>
      </c>
      <c r="AH662" s="10">
        <f t="shared" si="997"/>
        <v>0</v>
      </c>
      <c r="AI662" s="10">
        <f t="shared" si="998"/>
        <v>0</v>
      </c>
      <c r="AJ662" s="10">
        <f t="shared" si="999"/>
        <v>0</v>
      </c>
      <c r="AK662" s="10">
        <f t="shared" si="1000"/>
        <v>0</v>
      </c>
      <c r="AL662" s="10">
        <f t="shared" si="1001"/>
        <v>0</v>
      </c>
      <c r="AM662" s="10">
        <f t="shared" si="1002"/>
        <v>0</v>
      </c>
      <c r="AN662" s="46">
        <f t="shared" si="1003"/>
        <v>0</v>
      </c>
      <c r="AO662" s="10">
        <f t="shared" si="1004"/>
        <v>0</v>
      </c>
      <c r="AP662" s="10">
        <f t="shared" si="1005"/>
        <v>0</v>
      </c>
      <c r="AQ662" s="10">
        <f t="shared" si="1006"/>
        <v>0</v>
      </c>
      <c r="AR662" s="10">
        <f t="shared" si="1007"/>
        <v>0</v>
      </c>
      <c r="AS662" s="10">
        <f t="shared" si="1008"/>
        <v>0</v>
      </c>
      <c r="AT662" s="10">
        <f t="shared" si="1009"/>
        <v>0</v>
      </c>
      <c r="AU662" s="10">
        <f t="shared" si="1010"/>
        <v>0</v>
      </c>
      <c r="AV662" s="10">
        <f t="shared" si="1011"/>
        <v>0</v>
      </c>
      <c r="AW662" s="10">
        <f t="shared" si="1012"/>
        <v>0</v>
      </c>
      <c r="AX662" s="10">
        <f t="shared" si="1013"/>
        <v>0</v>
      </c>
    </row>
    <row r="663" spans="1:50" x14ac:dyDescent="0.2">
      <c r="A663" s="8">
        <v>11570</v>
      </c>
      <c r="B663" s="89" t="str">
        <f t="shared" si="965"/>
        <v>Canterbury-Bankstown</v>
      </c>
      <c r="C663" s="9" t="str">
        <f t="shared" si="966"/>
        <v>SSROC</v>
      </c>
      <c r="D663" s="51" t="str">
        <f t="shared" si="967"/>
        <v>S</v>
      </c>
      <c r="E663" s="10">
        <f t="shared" si="968"/>
        <v>0</v>
      </c>
      <c r="F663" s="10">
        <f t="shared" si="969"/>
        <v>380406</v>
      </c>
      <c r="G663" s="10">
        <f t="shared" si="970"/>
        <v>137601</v>
      </c>
      <c r="H663" s="10">
        <f t="shared" si="971"/>
        <v>2.7645583971046723</v>
      </c>
      <c r="I663" s="10">
        <f t="shared" si="972"/>
        <v>110.2</v>
      </c>
      <c r="J663" s="10">
        <f t="shared" si="973"/>
        <v>3450.8</v>
      </c>
      <c r="K663" s="10">
        <f t="shared" si="974"/>
        <v>565</v>
      </c>
      <c r="L663" s="10" t="str">
        <f t="shared" si="975"/>
        <v>Y</v>
      </c>
      <c r="M663" s="10">
        <f t="shared" si="976"/>
        <v>129115</v>
      </c>
      <c r="N663" s="10">
        <f t="shared" si="977"/>
        <v>129115</v>
      </c>
      <c r="O663" s="10">
        <f t="shared" si="978"/>
        <v>93102</v>
      </c>
      <c r="P663" s="10">
        <f t="shared" si="979"/>
        <v>0</v>
      </c>
      <c r="Q663" s="10">
        <f t="shared" si="980"/>
        <v>137601</v>
      </c>
      <c r="R663" s="10" t="str">
        <f t="shared" si="981"/>
        <v>Yes</v>
      </c>
      <c r="S663" s="10">
        <f t="shared" si="982"/>
        <v>0</v>
      </c>
      <c r="T663" s="10">
        <f t="shared" si="983"/>
        <v>0</v>
      </c>
      <c r="U663" s="10">
        <f t="shared" si="984"/>
        <v>0</v>
      </c>
      <c r="V663" s="10">
        <f t="shared" si="985"/>
        <v>0</v>
      </c>
      <c r="W663" s="10">
        <f t="shared" si="986"/>
        <v>0</v>
      </c>
      <c r="X663" s="10">
        <f t="shared" si="987"/>
        <v>0</v>
      </c>
      <c r="Y663" s="10">
        <f t="shared" si="988"/>
        <v>0</v>
      </c>
      <c r="Z663" s="10">
        <f t="shared" si="989"/>
        <v>0</v>
      </c>
      <c r="AA663" s="10">
        <f t="shared" si="990"/>
        <v>0</v>
      </c>
      <c r="AB663" s="10">
        <f t="shared" si="991"/>
        <v>0</v>
      </c>
      <c r="AC663" s="10">
        <f t="shared" si="992"/>
        <v>0</v>
      </c>
      <c r="AD663" s="10">
        <f t="shared" si="993"/>
        <v>0</v>
      </c>
      <c r="AE663" s="10">
        <f t="shared" si="994"/>
        <v>0</v>
      </c>
      <c r="AF663" s="10">
        <f t="shared" si="995"/>
        <v>0</v>
      </c>
      <c r="AG663" s="10">
        <f t="shared" si="996"/>
        <v>0</v>
      </c>
      <c r="AH663" s="10">
        <f t="shared" si="997"/>
        <v>0</v>
      </c>
      <c r="AI663" s="10">
        <f t="shared" si="998"/>
        <v>0</v>
      </c>
      <c r="AJ663" s="10">
        <f t="shared" si="999"/>
        <v>0</v>
      </c>
      <c r="AK663" s="10">
        <f t="shared" si="1000"/>
        <v>0</v>
      </c>
      <c r="AL663" s="10">
        <f t="shared" si="1001"/>
        <v>0</v>
      </c>
      <c r="AM663" s="10">
        <f t="shared" si="1002"/>
        <v>0</v>
      </c>
      <c r="AN663" s="46">
        <f t="shared" si="1003"/>
        <v>0</v>
      </c>
      <c r="AO663" s="10">
        <f t="shared" si="1004"/>
        <v>0</v>
      </c>
      <c r="AP663" s="10">
        <f t="shared" si="1005"/>
        <v>0</v>
      </c>
      <c r="AQ663" s="10">
        <f t="shared" si="1006"/>
        <v>0</v>
      </c>
      <c r="AR663" s="10">
        <f t="shared" si="1007"/>
        <v>0</v>
      </c>
      <c r="AS663" s="10">
        <f t="shared" si="1008"/>
        <v>0</v>
      </c>
      <c r="AT663" s="10">
        <f t="shared" si="1009"/>
        <v>0</v>
      </c>
      <c r="AU663" s="10">
        <f t="shared" si="1010"/>
        <v>0</v>
      </c>
      <c r="AV663" s="10">
        <f t="shared" si="1011"/>
        <v>0</v>
      </c>
      <c r="AW663" s="10">
        <f t="shared" si="1012"/>
        <v>0</v>
      </c>
      <c r="AX663" s="10">
        <f t="shared" si="1013"/>
        <v>0</v>
      </c>
    </row>
    <row r="664" spans="1:50" x14ac:dyDescent="0.2">
      <c r="A664" s="8">
        <v>12930</v>
      </c>
      <c r="B664" s="89" t="str">
        <f t="shared" si="965"/>
        <v>Georges River</v>
      </c>
      <c r="C664" s="9" t="str">
        <f t="shared" si="966"/>
        <v>SSROC</v>
      </c>
      <c r="D664" s="51" t="str">
        <f t="shared" si="967"/>
        <v>S</v>
      </c>
      <c r="E664" s="10">
        <f t="shared" si="968"/>
        <v>0</v>
      </c>
      <c r="F664" s="10">
        <f t="shared" si="969"/>
        <v>160272</v>
      </c>
      <c r="G664" s="10">
        <f t="shared" si="970"/>
        <v>61271</v>
      </c>
      <c r="H664" s="10">
        <f t="shared" si="971"/>
        <v>2.6157888723866103</v>
      </c>
      <c r="I664" s="10">
        <f t="shared" si="972"/>
        <v>38.299999999999997</v>
      </c>
      <c r="J664" s="10">
        <f t="shared" si="973"/>
        <v>4179.6000000000004</v>
      </c>
      <c r="K664" s="10">
        <f t="shared" si="974"/>
        <v>464.88</v>
      </c>
      <c r="L664" s="10" t="str">
        <f t="shared" si="975"/>
        <v>Y</v>
      </c>
      <c r="M664" s="10">
        <f t="shared" si="976"/>
        <v>57705</v>
      </c>
      <c r="N664" s="10">
        <f t="shared" si="977"/>
        <v>61271</v>
      </c>
      <c r="O664" s="10">
        <f t="shared" si="978"/>
        <v>57705</v>
      </c>
      <c r="P664" s="10">
        <f t="shared" si="979"/>
        <v>0</v>
      </c>
      <c r="Q664" s="10">
        <f t="shared" si="980"/>
        <v>61271</v>
      </c>
      <c r="R664" s="10" t="str">
        <f t="shared" si="981"/>
        <v>Yes</v>
      </c>
      <c r="S664" s="10" t="str">
        <f t="shared" si="982"/>
        <v>Household chemical cleanout</v>
      </c>
      <c r="T664" s="10" t="str">
        <f t="shared" si="983"/>
        <v>Techwaste drop off</v>
      </c>
      <c r="U664" s="10" t="str">
        <f t="shared" si="984"/>
        <v>Small scale recycling stations</v>
      </c>
      <c r="V664" s="10">
        <f t="shared" si="985"/>
        <v>0</v>
      </c>
      <c r="W664" s="10">
        <f t="shared" si="986"/>
        <v>0</v>
      </c>
      <c r="X664" s="10">
        <f t="shared" si="987"/>
        <v>0</v>
      </c>
      <c r="Y664" s="10">
        <f t="shared" si="988"/>
        <v>0</v>
      </c>
      <c r="Z664" s="10">
        <f t="shared" si="989"/>
        <v>0</v>
      </c>
      <c r="AA664" s="10">
        <f t="shared" si="990"/>
        <v>0</v>
      </c>
      <c r="AB664" s="10">
        <f t="shared" si="991"/>
        <v>0</v>
      </c>
      <c r="AC664" s="10">
        <f t="shared" si="992"/>
        <v>0</v>
      </c>
      <c r="AD664" s="10">
        <f t="shared" si="993"/>
        <v>0</v>
      </c>
      <c r="AE664" s="10">
        <f t="shared" si="994"/>
        <v>0</v>
      </c>
      <c r="AF664" s="10">
        <f t="shared" si="995"/>
        <v>0</v>
      </c>
      <c r="AG664" s="10">
        <f t="shared" si="996"/>
        <v>0</v>
      </c>
      <c r="AH664" s="10">
        <f t="shared" si="997"/>
        <v>0</v>
      </c>
      <c r="AI664" s="10">
        <f t="shared" si="998"/>
        <v>0</v>
      </c>
      <c r="AJ664" s="10">
        <f t="shared" si="999"/>
        <v>0</v>
      </c>
      <c r="AK664" s="10">
        <f t="shared" si="1000"/>
        <v>0</v>
      </c>
      <c r="AL664" s="10">
        <f t="shared" si="1001"/>
        <v>0</v>
      </c>
      <c r="AM664" s="10">
        <f t="shared" si="1002"/>
        <v>0</v>
      </c>
      <c r="AN664" s="46">
        <f t="shared" si="1003"/>
        <v>0</v>
      </c>
      <c r="AO664" s="10">
        <f t="shared" si="1004"/>
        <v>0</v>
      </c>
      <c r="AP664" s="10">
        <f t="shared" si="1005"/>
        <v>0</v>
      </c>
      <c r="AQ664" s="10">
        <f t="shared" si="1006"/>
        <v>0</v>
      </c>
      <c r="AR664" s="10">
        <f t="shared" si="1007"/>
        <v>0</v>
      </c>
      <c r="AS664" s="10">
        <f t="shared" si="1008"/>
        <v>0</v>
      </c>
      <c r="AT664" s="10">
        <f t="shared" si="1009"/>
        <v>0</v>
      </c>
      <c r="AU664" s="10">
        <f t="shared" si="1010"/>
        <v>0</v>
      </c>
      <c r="AV664" s="10">
        <f t="shared" si="1011"/>
        <v>0</v>
      </c>
      <c r="AW664" s="10">
        <f t="shared" si="1012"/>
        <v>0</v>
      </c>
      <c r="AX664" s="10">
        <f t="shared" si="1013"/>
        <v>0</v>
      </c>
    </row>
    <row r="665" spans="1:50" x14ac:dyDescent="0.2">
      <c r="A665" s="8">
        <v>14170</v>
      </c>
      <c r="B665" s="89" t="str">
        <f t="shared" si="965"/>
        <v>Inner West</v>
      </c>
      <c r="C665" s="9" t="str">
        <f t="shared" si="966"/>
        <v>SSROC</v>
      </c>
      <c r="D665" s="51" t="str">
        <f t="shared" si="967"/>
        <v>S</v>
      </c>
      <c r="E665" s="10">
        <f t="shared" si="968"/>
        <v>0</v>
      </c>
      <c r="F665" s="10">
        <f t="shared" si="969"/>
        <v>201880</v>
      </c>
      <c r="G665" s="10">
        <f t="shared" si="970"/>
        <v>78331</v>
      </c>
      <c r="H665" s="10">
        <f t="shared" si="971"/>
        <v>2.5772682590545251</v>
      </c>
      <c r="I665" s="10">
        <f t="shared" si="972"/>
        <v>35.4</v>
      </c>
      <c r="J665" s="10">
        <f t="shared" si="973"/>
        <v>5707.5</v>
      </c>
      <c r="K665" s="10">
        <f t="shared" si="974"/>
        <v>544</v>
      </c>
      <c r="L665" s="10" t="str">
        <f t="shared" si="975"/>
        <v>Y</v>
      </c>
      <c r="M665" s="10">
        <f t="shared" si="976"/>
        <v>70082</v>
      </c>
      <c r="N665" s="10">
        <f t="shared" si="977"/>
        <v>68490</v>
      </c>
      <c r="O665" s="10">
        <f t="shared" si="978"/>
        <v>34458</v>
      </c>
      <c r="P665" s="10">
        <f t="shared" si="979"/>
        <v>0</v>
      </c>
      <c r="Q665" s="10">
        <f t="shared" si="980"/>
        <v>78331</v>
      </c>
      <c r="R665" s="10" t="str">
        <f t="shared" si="981"/>
        <v>Yes</v>
      </c>
      <c r="S665" s="10" t="str">
        <f t="shared" si="982"/>
        <v>Weekend Transfer Station, 50-54 Moore Street, Leichhardt</v>
      </c>
      <c r="T665" s="10" t="str">
        <f t="shared" si="983"/>
        <v>Community Recycling Centre, 15-17 Unwins Bridge Road, St Peters</v>
      </c>
      <c r="U665" s="10">
        <f t="shared" si="984"/>
        <v>0</v>
      </c>
      <c r="V665" s="10">
        <f t="shared" si="985"/>
        <v>0</v>
      </c>
      <c r="W665" s="10">
        <f t="shared" si="986"/>
        <v>0</v>
      </c>
      <c r="X665" s="10">
        <f t="shared" si="987"/>
        <v>0</v>
      </c>
      <c r="Y665" s="10">
        <f t="shared" si="988"/>
        <v>0</v>
      </c>
      <c r="Z665" s="10">
        <f t="shared" si="989"/>
        <v>0</v>
      </c>
      <c r="AA665" s="10">
        <f t="shared" si="990"/>
        <v>0</v>
      </c>
      <c r="AB665" s="10">
        <f t="shared" si="991"/>
        <v>0</v>
      </c>
      <c r="AC665" s="10">
        <f t="shared" si="992"/>
        <v>0</v>
      </c>
      <c r="AD665" s="10">
        <f t="shared" si="993"/>
        <v>0</v>
      </c>
      <c r="AE665" s="10">
        <f t="shared" si="994"/>
        <v>0</v>
      </c>
      <c r="AF665" s="10">
        <f t="shared" si="995"/>
        <v>0</v>
      </c>
      <c r="AG665" s="10">
        <f t="shared" si="996"/>
        <v>0</v>
      </c>
      <c r="AH665" s="10">
        <f t="shared" si="997"/>
        <v>0</v>
      </c>
      <c r="AI665" s="10">
        <f t="shared" si="998"/>
        <v>0</v>
      </c>
      <c r="AJ665" s="10">
        <f t="shared" si="999"/>
        <v>0</v>
      </c>
      <c r="AK665" s="10">
        <f t="shared" si="1000"/>
        <v>0</v>
      </c>
      <c r="AL665" s="10">
        <f t="shared" si="1001"/>
        <v>0</v>
      </c>
      <c r="AM665" s="10">
        <f t="shared" si="1002"/>
        <v>0</v>
      </c>
      <c r="AN665" s="46">
        <f t="shared" si="1003"/>
        <v>0</v>
      </c>
      <c r="AO665" s="10">
        <f t="shared" si="1004"/>
        <v>0</v>
      </c>
      <c r="AP665" s="10">
        <f t="shared" si="1005"/>
        <v>0</v>
      </c>
      <c r="AQ665" s="10">
        <f t="shared" si="1006"/>
        <v>0</v>
      </c>
      <c r="AR665" s="10">
        <f t="shared" si="1007"/>
        <v>0</v>
      </c>
      <c r="AS665" s="10">
        <f t="shared" si="1008"/>
        <v>0</v>
      </c>
      <c r="AT665" s="10">
        <f t="shared" si="1009"/>
        <v>0</v>
      </c>
      <c r="AU665" s="10">
        <f t="shared" si="1010"/>
        <v>0</v>
      </c>
      <c r="AV665" s="10">
        <f t="shared" si="1011"/>
        <v>0</v>
      </c>
      <c r="AW665" s="10">
        <f t="shared" si="1012"/>
        <v>0</v>
      </c>
      <c r="AX665" s="10">
        <f t="shared" si="1013"/>
        <v>0</v>
      </c>
    </row>
    <row r="666" spans="1:50" x14ac:dyDescent="0.2">
      <c r="A666" s="8">
        <v>16550</v>
      </c>
      <c r="B666" s="89" t="str">
        <f t="shared" si="965"/>
        <v>Randwick</v>
      </c>
      <c r="C666" s="9" t="str">
        <f t="shared" si="966"/>
        <v>SSROC</v>
      </c>
      <c r="D666" s="51" t="str">
        <f t="shared" si="967"/>
        <v>S</v>
      </c>
      <c r="E666" s="10">
        <f t="shared" si="968"/>
        <v>0</v>
      </c>
      <c r="F666" s="10">
        <f t="shared" si="969"/>
        <v>156619</v>
      </c>
      <c r="G666" s="10">
        <f t="shared" si="970"/>
        <v>59726</v>
      </c>
      <c r="H666" s="10">
        <f t="shared" si="971"/>
        <v>2.6222917992164216</v>
      </c>
      <c r="I666" s="10">
        <f t="shared" si="972"/>
        <v>36.299999999999997</v>
      </c>
      <c r="J666" s="10">
        <f t="shared" si="973"/>
        <v>4310.8999999999996</v>
      </c>
      <c r="K666" s="10">
        <f t="shared" si="974"/>
        <v>604.75</v>
      </c>
      <c r="L666" s="10" t="str">
        <f t="shared" si="975"/>
        <v>Y</v>
      </c>
      <c r="M666" s="10">
        <f t="shared" si="976"/>
        <v>58388</v>
      </c>
      <c r="N666" s="10">
        <f t="shared" si="977"/>
        <v>59328</v>
      </c>
      <c r="O666" s="10">
        <f t="shared" si="978"/>
        <v>59692</v>
      </c>
      <c r="P666" s="10">
        <f t="shared" si="979"/>
        <v>59692</v>
      </c>
      <c r="Q666" s="10">
        <f t="shared" si="980"/>
        <v>59726</v>
      </c>
      <c r="R666" s="10" t="str">
        <f t="shared" si="981"/>
        <v>Yes</v>
      </c>
      <c r="S666" s="10" t="str">
        <f t="shared" si="982"/>
        <v>72 Perry Street, Matraville NSW 2036</v>
      </c>
      <c r="T666" s="10">
        <f t="shared" si="983"/>
        <v>0</v>
      </c>
      <c r="U666" s="10">
        <f t="shared" si="984"/>
        <v>0</v>
      </c>
      <c r="V666" s="10">
        <f t="shared" si="985"/>
        <v>0</v>
      </c>
      <c r="W666" s="10">
        <f t="shared" si="986"/>
        <v>0</v>
      </c>
      <c r="X666" s="10">
        <f t="shared" si="987"/>
        <v>0</v>
      </c>
      <c r="Y666" s="10">
        <f t="shared" si="988"/>
        <v>0</v>
      </c>
      <c r="Z666" s="10">
        <f t="shared" si="989"/>
        <v>0</v>
      </c>
      <c r="AA666" s="10">
        <f t="shared" si="990"/>
        <v>0</v>
      </c>
      <c r="AB666" s="10">
        <f t="shared" si="991"/>
        <v>0</v>
      </c>
      <c r="AC666" s="10">
        <f t="shared" si="992"/>
        <v>0</v>
      </c>
      <c r="AD666" s="10">
        <f t="shared" si="993"/>
        <v>0</v>
      </c>
      <c r="AE666" s="10">
        <f t="shared" si="994"/>
        <v>0</v>
      </c>
      <c r="AF666" s="10">
        <f t="shared" si="995"/>
        <v>0</v>
      </c>
      <c r="AG666" s="10">
        <f t="shared" si="996"/>
        <v>0</v>
      </c>
      <c r="AH666" s="10">
        <f t="shared" si="997"/>
        <v>0</v>
      </c>
      <c r="AI666" s="10">
        <f t="shared" si="998"/>
        <v>0</v>
      </c>
      <c r="AJ666" s="10">
        <f t="shared" si="999"/>
        <v>0</v>
      </c>
      <c r="AK666" s="10">
        <f t="shared" si="1000"/>
        <v>0</v>
      </c>
      <c r="AL666" s="10">
        <f t="shared" si="1001"/>
        <v>0</v>
      </c>
      <c r="AM666" s="10">
        <f t="shared" si="1002"/>
        <v>0</v>
      </c>
      <c r="AN666" s="46">
        <f t="shared" si="1003"/>
        <v>0</v>
      </c>
      <c r="AO666" s="10">
        <f t="shared" si="1004"/>
        <v>0</v>
      </c>
      <c r="AP666" s="10">
        <f t="shared" si="1005"/>
        <v>0</v>
      </c>
      <c r="AQ666" s="10">
        <f t="shared" si="1006"/>
        <v>0</v>
      </c>
      <c r="AR666" s="10">
        <f t="shared" si="1007"/>
        <v>0</v>
      </c>
      <c r="AS666" s="10">
        <f t="shared" si="1008"/>
        <v>0</v>
      </c>
      <c r="AT666" s="10">
        <f t="shared" si="1009"/>
        <v>0</v>
      </c>
      <c r="AU666" s="10">
        <f t="shared" si="1010"/>
        <v>0</v>
      </c>
      <c r="AV666" s="10">
        <f t="shared" si="1011"/>
        <v>0</v>
      </c>
      <c r="AW666" s="10">
        <f t="shared" si="1012"/>
        <v>0</v>
      </c>
      <c r="AX666" s="10">
        <f t="shared" si="1013"/>
        <v>0</v>
      </c>
    </row>
    <row r="667" spans="1:50" x14ac:dyDescent="0.2">
      <c r="A667" s="8">
        <v>17150</v>
      </c>
      <c r="B667" s="89" t="str">
        <f t="shared" si="965"/>
        <v>Sutherland Shire</v>
      </c>
      <c r="C667" s="9" t="str">
        <f t="shared" si="966"/>
        <v>SSROC</v>
      </c>
      <c r="D667" s="51" t="str">
        <f t="shared" si="967"/>
        <v>S</v>
      </c>
      <c r="E667" s="10">
        <f t="shared" si="968"/>
        <v>0</v>
      </c>
      <c r="F667" s="10">
        <f t="shared" si="969"/>
        <v>232369</v>
      </c>
      <c r="G667" s="10">
        <f t="shared" si="970"/>
        <v>87888</v>
      </c>
      <c r="H667" s="10">
        <f t="shared" si="971"/>
        <v>2.6439218095758239</v>
      </c>
      <c r="I667" s="10">
        <f t="shared" si="972"/>
        <v>333.6</v>
      </c>
      <c r="J667" s="10">
        <f t="shared" si="973"/>
        <v>696.6</v>
      </c>
      <c r="K667" s="10">
        <f t="shared" si="974"/>
        <v>456.3</v>
      </c>
      <c r="L667" s="10" t="str">
        <f t="shared" si="975"/>
        <v>Y</v>
      </c>
      <c r="M667" s="10">
        <f t="shared" si="976"/>
        <v>87150</v>
      </c>
      <c r="N667" s="10">
        <f t="shared" si="977"/>
        <v>85226</v>
      </c>
      <c r="O667" s="10">
        <f t="shared" si="978"/>
        <v>85226</v>
      </c>
      <c r="P667" s="10">
        <f t="shared" si="979"/>
        <v>0</v>
      </c>
      <c r="Q667" s="10">
        <f t="shared" si="980"/>
        <v>87888</v>
      </c>
      <c r="R667" s="10" t="str">
        <f t="shared" si="981"/>
        <v>Yes</v>
      </c>
      <c r="S667" s="10">
        <f t="shared" si="982"/>
        <v>0</v>
      </c>
      <c r="T667" s="10">
        <f t="shared" si="983"/>
        <v>0</v>
      </c>
      <c r="U667" s="10">
        <f t="shared" si="984"/>
        <v>0</v>
      </c>
      <c r="V667" s="10">
        <f t="shared" si="985"/>
        <v>0</v>
      </c>
      <c r="W667" s="10">
        <f t="shared" si="986"/>
        <v>0</v>
      </c>
      <c r="X667" s="10">
        <f t="shared" si="987"/>
        <v>0</v>
      </c>
      <c r="Y667" s="10">
        <f t="shared" si="988"/>
        <v>0</v>
      </c>
      <c r="Z667" s="10">
        <f t="shared" si="989"/>
        <v>0</v>
      </c>
      <c r="AA667" s="10">
        <f t="shared" si="990"/>
        <v>0</v>
      </c>
      <c r="AB667" s="10">
        <f t="shared" si="991"/>
        <v>0</v>
      </c>
      <c r="AC667" s="10">
        <f t="shared" si="992"/>
        <v>0</v>
      </c>
      <c r="AD667" s="10">
        <f t="shared" si="993"/>
        <v>0</v>
      </c>
      <c r="AE667" s="10">
        <f t="shared" si="994"/>
        <v>0</v>
      </c>
      <c r="AF667" s="10">
        <f t="shared" si="995"/>
        <v>0</v>
      </c>
      <c r="AG667" s="10">
        <f t="shared" si="996"/>
        <v>0</v>
      </c>
      <c r="AH667" s="10">
        <f t="shared" si="997"/>
        <v>0</v>
      </c>
      <c r="AI667" s="10">
        <f t="shared" si="998"/>
        <v>0</v>
      </c>
      <c r="AJ667" s="10">
        <f t="shared" si="999"/>
        <v>0</v>
      </c>
      <c r="AK667" s="10">
        <f t="shared" si="1000"/>
        <v>0</v>
      </c>
      <c r="AL667" s="10">
        <f t="shared" si="1001"/>
        <v>0</v>
      </c>
      <c r="AM667" s="10">
        <f t="shared" si="1002"/>
        <v>0</v>
      </c>
      <c r="AN667" s="46">
        <f t="shared" si="1003"/>
        <v>0</v>
      </c>
      <c r="AO667" s="10">
        <f t="shared" si="1004"/>
        <v>0</v>
      </c>
      <c r="AP667" s="10">
        <f t="shared" si="1005"/>
        <v>0</v>
      </c>
      <c r="AQ667" s="10">
        <f t="shared" si="1006"/>
        <v>0</v>
      </c>
      <c r="AR667" s="10">
        <f t="shared" si="1007"/>
        <v>0</v>
      </c>
      <c r="AS667" s="10">
        <f t="shared" si="1008"/>
        <v>0</v>
      </c>
      <c r="AT667" s="10">
        <f t="shared" si="1009"/>
        <v>0</v>
      </c>
      <c r="AU667" s="10">
        <f t="shared" si="1010"/>
        <v>0</v>
      </c>
      <c r="AV667" s="10">
        <f t="shared" si="1011"/>
        <v>0</v>
      </c>
      <c r="AW667" s="10">
        <f t="shared" si="1012"/>
        <v>0</v>
      </c>
      <c r="AX667" s="10">
        <f t="shared" si="1013"/>
        <v>0</v>
      </c>
    </row>
    <row r="668" spans="1:50" x14ac:dyDescent="0.2">
      <c r="A668" s="8">
        <v>17200</v>
      </c>
      <c r="B668" s="89" t="str">
        <f t="shared" si="965"/>
        <v>Sydney</v>
      </c>
      <c r="C668" s="9" t="str">
        <f t="shared" si="966"/>
        <v>SSROC</v>
      </c>
      <c r="D668" s="51" t="str">
        <f t="shared" si="967"/>
        <v>S</v>
      </c>
      <c r="E668" s="10">
        <f t="shared" si="968"/>
        <v>0</v>
      </c>
      <c r="F668" s="10">
        <f t="shared" si="969"/>
        <v>248736</v>
      </c>
      <c r="G668" s="10">
        <f t="shared" si="970"/>
        <v>130963</v>
      </c>
      <c r="H668" s="10">
        <f t="shared" si="971"/>
        <v>1.899284530745325</v>
      </c>
      <c r="I668" s="10">
        <f t="shared" si="972"/>
        <v>26.7</v>
      </c>
      <c r="J668" s="10">
        <f t="shared" si="973"/>
        <v>9301</v>
      </c>
      <c r="K668" s="10">
        <f t="shared" si="974"/>
        <v>372</v>
      </c>
      <c r="L668" s="10" t="str">
        <f t="shared" si="975"/>
        <v>Y</v>
      </c>
      <c r="M668" s="10">
        <f t="shared" si="976"/>
        <v>37539</v>
      </c>
      <c r="N668" s="10">
        <f t="shared" si="977"/>
        <v>40147</v>
      </c>
      <c r="O668" s="10">
        <f t="shared" si="978"/>
        <v>8134</v>
      </c>
      <c r="P668" s="10">
        <f t="shared" si="979"/>
        <v>0</v>
      </c>
      <c r="Q668" s="10">
        <f t="shared" si="980"/>
        <v>130963</v>
      </c>
      <c r="R668" s="10" t="str">
        <f t="shared" si="981"/>
        <v>Yes</v>
      </c>
      <c r="S668" s="10">
        <f t="shared" si="982"/>
        <v>0</v>
      </c>
      <c r="T668" s="10">
        <f t="shared" si="983"/>
        <v>0</v>
      </c>
      <c r="U668" s="10">
        <f t="shared" si="984"/>
        <v>0</v>
      </c>
      <c r="V668" s="10">
        <f t="shared" si="985"/>
        <v>0</v>
      </c>
      <c r="W668" s="10">
        <f t="shared" si="986"/>
        <v>0</v>
      </c>
      <c r="X668" s="10">
        <f t="shared" si="987"/>
        <v>0</v>
      </c>
      <c r="Y668" s="10">
        <f t="shared" si="988"/>
        <v>0</v>
      </c>
      <c r="Z668" s="10">
        <f t="shared" si="989"/>
        <v>0</v>
      </c>
      <c r="AA668" s="10">
        <f t="shared" si="990"/>
        <v>0</v>
      </c>
      <c r="AB668" s="10">
        <f t="shared" si="991"/>
        <v>0</v>
      </c>
      <c r="AC668" s="10">
        <f t="shared" si="992"/>
        <v>0</v>
      </c>
      <c r="AD668" s="10">
        <f t="shared" si="993"/>
        <v>0</v>
      </c>
      <c r="AE668" s="10">
        <f t="shared" si="994"/>
        <v>0</v>
      </c>
      <c r="AF668" s="10">
        <f t="shared" si="995"/>
        <v>0</v>
      </c>
      <c r="AG668" s="10">
        <f t="shared" si="996"/>
        <v>0</v>
      </c>
      <c r="AH668" s="10">
        <f t="shared" si="997"/>
        <v>0</v>
      </c>
      <c r="AI668" s="10">
        <f t="shared" si="998"/>
        <v>0</v>
      </c>
      <c r="AJ668" s="10">
        <f t="shared" si="999"/>
        <v>0</v>
      </c>
      <c r="AK668" s="10">
        <f t="shared" si="1000"/>
        <v>0</v>
      </c>
      <c r="AL668" s="10">
        <f t="shared" si="1001"/>
        <v>0</v>
      </c>
      <c r="AM668" s="10">
        <f t="shared" si="1002"/>
        <v>0</v>
      </c>
      <c r="AN668" s="46">
        <f t="shared" si="1003"/>
        <v>0</v>
      </c>
      <c r="AO668" s="10">
        <f t="shared" si="1004"/>
        <v>0</v>
      </c>
      <c r="AP668" s="10">
        <f t="shared" si="1005"/>
        <v>0</v>
      </c>
      <c r="AQ668" s="10">
        <f t="shared" si="1006"/>
        <v>0</v>
      </c>
      <c r="AR668" s="10">
        <f t="shared" si="1007"/>
        <v>0</v>
      </c>
      <c r="AS668" s="10">
        <f t="shared" si="1008"/>
        <v>0</v>
      </c>
      <c r="AT668" s="10">
        <f t="shared" si="1009"/>
        <v>0</v>
      </c>
      <c r="AU668" s="10">
        <f t="shared" si="1010"/>
        <v>0</v>
      </c>
      <c r="AV668" s="10">
        <f t="shared" si="1011"/>
        <v>0</v>
      </c>
      <c r="AW668" s="10">
        <f t="shared" si="1012"/>
        <v>0</v>
      </c>
      <c r="AX668" s="10">
        <f t="shared" si="1013"/>
        <v>0</v>
      </c>
    </row>
    <row r="669" spans="1:50" x14ac:dyDescent="0.2">
      <c r="A669" s="8">
        <v>18050</v>
      </c>
      <c r="B669" s="89" t="str">
        <f t="shared" si="965"/>
        <v>Waverley</v>
      </c>
      <c r="C669" s="9" t="str">
        <f t="shared" si="966"/>
        <v>SSROC</v>
      </c>
      <c r="D669" s="51" t="str">
        <f t="shared" si="967"/>
        <v>S</v>
      </c>
      <c r="E669" s="10">
        <f t="shared" si="968"/>
        <v>0</v>
      </c>
      <c r="F669" s="10">
        <f t="shared" si="969"/>
        <v>74276</v>
      </c>
      <c r="G669" s="10">
        <f t="shared" si="970"/>
        <v>29754</v>
      </c>
      <c r="H669" s="10">
        <f t="shared" si="971"/>
        <v>2.4963366270081333</v>
      </c>
      <c r="I669" s="10">
        <f t="shared" si="972"/>
        <v>9.4</v>
      </c>
      <c r="J669" s="10">
        <f t="shared" si="973"/>
        <v>7943.4</v>
      </c>
      <c r="K669" s="10">
        <f t="shared" si="974"/>
        <v>576</v>
      </c>
      <c r="L669" s="10" t="str">
        <f t="shared" si="975"/>
        <v>Y</v>
      </c>
      <c r="M669" s="10">
        <f t="shared" si="976"/>
        <v>29748</v>
      </c>
      <c r="N669" s="10">
        <f t="shared" si="977"/>
        <v>29754</v>
      </c>
      <c r="O669" s="10">
        <f t="shared" si="978"/>
        <v>29748</v>
      </c>
      <c r="P669" s="10">
        <f t="shared" si="979"/>
        <v>0</v>
      </c>
      <c r="Q669" s="10">
        <f t="shared" si="980"/>
        <v>29754</v>
      </c>
      <c r="R669" s="10" t="str">
        <f t="shared" si="981"/>
        <v>Yes</v>
      </c>
      <c r="S669" s="10">
        <f t="shared" si="982"/>
        <v>0</v>
      </c>
      <c r="T669" s="10">
        <f t="shared" si="983"/>
        <v>0</v>
      </c>
      <c r="U669" s="10">
        <f t="shared" si="984"/>
        <v>0</v>
      </c>
      <c r="V669" s="10">
        <f t="shared" si="985"/>
        <v>0</v>
      </c>
      <c r="W669" s="10">
        <f t="shared" si="986"/>
        <v>0</v>
      </c>
      <c r="X669" s="10">
        <f t="shared" si="987"/>
        <v>0</v>
      </c>
      <c r="Y669" s="10">
        <f t="shared" si="988"/>
        <v>0</v>
      </c>
      <c r="Z669" s="10">
        <f t="shared" si="989"/>
        <v>0</v>
      </c>
      <c r="AA669" s="10">
        <f t="shared" si="990"/>
        <v>0</v>
      </c>
      <c r="AB669" s="10">
        <f t="shared" si="991"/>
        <v>0</v>
      </c>
      <c r="AC669" s="10">
        <f t="shared" si="992"/>
        <v>0</v>
      </c>
      <c r="AD669" s="10">
        <f t="shared" si="993"/>
        <v>0</v>
      </c>
      <c r="AE669" s="10">
        <f t="shared" si="994"/>
        <v>0</v>
      </c>
      <c r="AF669" s="10">
        <f t="shared" si="995"/>
        <v>0</v>
      </c>
      <c r="AG669" s="10">
        <f t="shared" si="996"/>
        <v>0</v>
      </c>
      <c r="AH669" s="10">
        <f t="shared" si="997"/>
        <v>0</v>
      </c>
      <c r="AI669" s="10">
        <f t="shared" si="998"/>
        <v>0</v>
      </c>
      <c r="AJ669" s="10">
        <f t="shared" si="999"/>
        <v>0</v>
      </c>
      <c r="AK669" s="10">
        <f t="shared" si="1000"/>
        <v>0</v>
      </c>
      <c r="AL669" s="10">
        <f t="shared" si="1001"/>
        <v>0</v>
      </c>
      <c r="AM669" s="10">
        <f t="shared" si="1002"/>
        <v>0</v>
      </c>
      <c r="AN669" s="46">
        <f t="shared" si="1003"/>
        <v>0</v>
      </c>
      <c r="AO669" s="10">
        <f t="shared" si="1004"/>
        <v>0</v>
      </c>
      <c r="AP669" s="10">
        <f t="shared" si="1005"/>
        <v>0</v>
      </c>
      <c r="AQ669" s="10">
        <f t="shared" si="1006"/>
        <v>0</v>
      </c>
      <c r="AR669" s="10">
        <f t="shared" si="1007"/>
        <v>0</v>
      </c>
      <c r="AS669" s="10">
        <f t="shared" si="1008"/>
        <v>0</v>
      </c>
      <c r="AT669" s="10">
        <f t="shared" si="1009"/>
        <v>0</v>
      </c>
      <c r="AU669" s="10">
        <f t="shared" si="1010"/>
        <v>0</v>
      </c>
      <c r="AV669" s="10">
        <f t="shared" si="1011"/>
        <v>0</v>
      </c>
      <c r="AW669" s="10">
        <f t="shared" si="1012"/>
        <v>0</v>
      </c>
      <c r="AX669" s="10">
        <f t="shared" si="1013"/>
        <v>0</v>
      </c>
    </row>
    <row r="670" spans="1:50" ht="13.5" thickBot="1" x14ac:dyDescent="0.25">
      <c r="A670" s="8">
        <v>18500</v>
      </c>
      <c r="B670" s="89" t="str">
        <f t="shared" si="965"/>
        <v>Woollahra</v>
      </c>
      <c r="C670" s="9" t="str">
        <f t="shared" si="966"/>
        <v>SSROC</v>
      </c>
      <c r="D670" s="51" t="str">
        <f t="shared" si="967"/>
        <v>S</v>
      </c>
      <c r="E670" s="10">
        <f t="shared" si="968"/>
        <v>0</v>
      </c>
      <c r="F670" s="10">
        <f t="shared" si="969"/>
        <v>59431</v>
      </c>
      <c r="G670" s="10">
        <f t="shared" si="970"/>
        <v>26397</v>
      </c>
      <c r="H670" s="10">
        <f t="shared" si="971"/>
        <v>2.2514300867522823</v>
      </c>
      <c r="I670" s="10">
        <f t="shared" si="972"/>
        <v>12.3</v>
      </c>
      <c r="J670" s="10">
        <f t="shared" si="973"/>
        <v>4840.6000000000004</v>
      </c>
      <c r="K670" s="10">
        <f t="shared" si="974"/>
        <v>536.65</v>
      </c>
      <c r="L670" s="10" t="str">
        <f t="shared" si="975"/>
        <v>Y</v>
      </c>
      <c r="M670" s="10">
        <f t="shared" si="976"/>
        <v>26397</v>
      </c>
      <c r="N670" s="10">
        <f t="shared" si="977"/>
        <v>10811</v>
      </c>
      <c r="O670" s="10">
        <f t="shared" si="978"/>
        <v>0</v>
      </c>
      <c r="P670" s="10">
        <f t="shared" si="979"/>
        <v>26397</v>
      </c>
      <c r="Q670" s="10">
        <f t="shared" si="980"/>
        <v>26397</v>
      </c>
      <c r="R670" s="10" t="str">
        <f t="shared" si="981"/>
        <v>No</v>
      </c>
      <c r="S670" s="10">
        <f t="shared" si="982"/>
        <v>0</v>
      </c>
      <c r="T670" s="10">
        <f t="shared" si="983"/>
        <v>0</v>
      </c>
      <c r="U670" s="10">
        <f t="shared" si="984"/>
        <v>0</v>
      </c>
      <c r="V670" s="10">
        <f t="shared" si="985"/>
        <v>0</v>
      </c>
      <c r="W670" s="10">
        <f t="shared" si="986"/>
        <v>0</v>
      </c>
      <c r="X670" s="10">
        <f t="shared" si="987"/>
        <v>0</v>
      </c>
      <c r="Y670" s="10">
        <f t="shared" si="988"/>
        <v>0</v>
      </c>
      <c r="Z670" s="10">
        <f t="shared" si="989"/>
        <v>0</v>
      </c>
      <c r="AA670" s="10">
        <f t="shared" si="990"/>
        <v>0</v>
      </c>
      <c r="AB670" s="10">
        <f t="shared" si="991"/>
        <v>0</v>
      </c>
      <c r="AC670" s="10">
        <f t="shared" si="992"/>
        <v>0</v>
      </c>
      <c r="AD670" s="10">
        <f t="shared" si="993"/>
        <v>0</v>
      </c>
      <c r="AE670" s="10">
        <f t="shared" si="994"/>
        <v>0</v>
      </c>
      <c r="AF670" s="10">
        <f t="shared" si="995"/>
        <v>0</v>
      </c>
      <c r="AG670" s="10">
        <f t="shared" si="996"/>
        <v>0</v>
      </c>
      <c r="AH670" s="10">
        <f t="shared" si="997"/>
        <v>0</v>
      </c>
      <c r="AI670" s="10">
        <f t="shared" si="998"/>
        <v>0</v>
      </c>
      <c r="AJ670" s="10">
        <f t="shared" si="999"/>
        <v>0</v>
      </c>
      <c r="AK670" s="10">
        <f t="shared" si="1000"/>
        <v>0</v>
      </c>
      <c r="AL670" s="10">
        <f t="shared" si="1001"/>
        <v>0</v>
      </c>
      <c r="AM670" s="10">
        <f t="shared" si="1002"/>
        <v>0</v>
      </c>
      <c r="AN670" s="46">
        <f t="shared" si="1003"/>
        <v>0</v>
      </c>
      <c r="AO670" s="10">
        <f t="shared" si="1004"/>
        <v>0</v>
      </c>
      <c r="AP670" s="10">
        <f t="shared" si="1005"/>
        <v>0</v>
      </c>
      <c r="AQ670" s="10">
        <f t="shared" si="1006"/>
        <v>0</v>
      </c>
      <c r="AR670" s="10">
        <f t="shared" si="1007"/>
        <v>0</v>
      </c>
      <c r="AS670" s="10">
        <f t="shared" si="1008"/>
        <v>0</v>
      </c>
      <c r="AT670" s="10">
        <f t="shared" si="1009"/>
        <v>0</v>
      </c>
      <c r="AU670" s="10">
        <f t="shared" si="1010"/>
        <v>0</v>
      </c>
      <c r="AV670" s="10">
        <f t="shared" si="1011"/>
        <v>0</v>
      </c>
      <c r="AW670" s="10">
        <f t="shared" si="1012"/>
        <v>0</v>
      </c>
      <c r="AX670" s="10">
        <f t="shared" si="1013"/>
        <v>0</v>
      </c>
    </row>
    <row r="671" spans="1:50" ht="13.5" thickTop="1" x14ac:dyDescent="0.2">
      <c r="A671" s="11"/>
      <c r="B671" s="11"/>
      <c r="C671" s="11" t="s">
        <v>30</v>
      </c>
      <c r="D671" s="11"/>
      <c r="E671" s="12"/>
      <c r="F671" s="13">
        <f>COUNTIF(F660:F670,"&gt;0")</f>
        <v>11</v>
      </c>
      <c r="G671" s="13">
        <f t="shared" ref="G671:AX671" si="1014">COUNTIF(G660:G670,"&gt;0")</f>
        <v>11</v>
      </c>
      <c r="H671" s="13">
        <f t="shared" si="1014"/>
        <v>11</v>
      </c>
      <c r="I671" s="13">
        <f t="shared" si="1014"/>
        <v>11</v>
      </c>
      <c r="J671" s="13">
        <f t="shared" si="1014"/>
        <v>11</v>
      </c>
      <c r="K671" s="13">
        <f t="shared" si="1014"/>
        <v>11</v>
      </c>
      <c r="L671" s="13">
        <f t="shared" si="1014"/>
        <v>0</v>
      </c>
      <c r="M671" s="13">
        <f t="shared" si="1014"/>
        <v>11</v>
      </c>
      <c r="N671" s="13">
        <f t="shared" si="1014"/>
        <v>11</v>
      </c>
      <c r="O671" s="13">
        <f t="shared" si="1014"/>
        <v>10</v>
      </c>
      <c r="P671" s="13">
        <f t="shared" si="1014"/>
        <v>2</v>
      </c>
      <c r="Q671" s="13">
        <f t="shared" si="1014"/>
        <v>11</v>
      </c>
      <c r="R671" s="13">
        <f t="shared" si="1014"/>
        <v>0</v>
      </c>
      <c r="S671" s="13">
        <f t="shared" si="1014"/>
        <v>0</v>
      </c>
      <c r="T671" s="13">
        <f t="shared" si="1014"/>
        <v>0</v>
      </c>
      <c r="U671" s="13">
        <f t="shared" si="1014"/>
        <v>0</v>
      </c>
      <c r="V671" s="13">
        <f t="shared" si="1014"/>
        <v>0</v>
      </c>
      <c r="W671" s="13">
        <f t="shared" si="1014"/>
        <v>0</v>
      </c>
      <c r="X671" s="13">
        <f t="shared" si="1014"/>
        <v>0</v>
      </c>
      <c r="Y671" s="13">
        <f t="shared" si="1014"/>
        <v>0</v>
      </c>
      <c r="Z671" s="13">
        <f t="shared" si="1014"/>
        <v>0</v>
      </c>
      <c r="AA671" s="13">
        <f t="shared" si="1014"/>
        <v>0</v>
      </c>
      <c r="AB671" s="13">
        <f t="shared" si="1014"/>
        <v>0</v>
      </c>
      <c r="AC671" s="13">
        <f t="shared" si="1014"/>
        <v>0</v>
      </c>
      <c r="AD671" s="13">
        <f t="shared" si="1014"/>
        <v>0</v>
      </c>
      <c r="AE671" s="13">
        <f t="shared" si="1014"/>
        <v>0</v>
      </c>
      <c r="AF671" s="13">
        <f t="shared" si="1014"/>
        <v>0</v>
      </c>
      <c r="AG671" s="13">
        <f t="shared" si="1014"/>
        <v>0</v>
      </c>
      <c r="AH671" s="13">
        <f t="shared" si="1014"/>
        <v>0</v>
      </c>
      <c r="AI671" s="13">
        <f t="shared" si="1014"/>
        <v>0</v>
      </c>
      <c r="AJ671" s="13">
        <f t="shared" si="1014"/>
        <v>0</v>
      </c>
      <c r="AK671" s="13">
        <f t="shared" si="1014"/>
        <v>0</v>
      </c>
      <c r="AL671" s="13">
        <f t="shared" si="1014"/>
        <v>0</v>
      </c>
      <c r="AM671" s="44">
        <f t="shared" si="1014"/>
        <v>0</v>
      </c>
      <c r="AN671" s="13">
        <f t="shared" si="1014"/>
        <v>0</v>
      </c>
      <c r="AO671" s="13">
        <f t="shared" si="1014"/>
        <v>0</v>
      </c>
      <c r="AP671" s="13">
        <f t="shared" si="1014"/>
        <v>0</v>
      </c>
      <c r="AQ671" s="13">
        <f t="shared" si="1014"/>
        <v>0</v>
      </c>
      <c r="AR671" s="13">
        <f t="shared" si="1014"/>
        <v>0</v>
      </c>
      <c r="AS671" s="13">
        <f t="shared" si="1014"/>
        <v>0</v>
      </c>
      <c r="AT671" s="13">
        <f t="shared" si="1014"/>
        <v>0</v>
      </c>
      <c r="AU671" s="13">
        <f t="shared" si="1014"/>
        <v>0</v>
      </c>
      <c r="AV671" s="13">
        <f t="shared" si="1014"/>
        <v>0</v>
      </c>
      <c r="AW671" s="13">
        <f t="shared" si="1014"/>
        <v>0</v>
      </c>
      <c r="AX671" s="13">
        <f t="shared" si="1014"/>
        <v>0</v>
      </c>
    </row>
    <row r="672" spans="1:50" x14ac:dyDescent="0.2">
      <c r="A672" s="8"/>
      <c r="B672" s="8"/>
      <c r="C672" s="8" t="s">
        <v>31</v>
      </c>
      <c r="D672" s="8"/>
      <c r="E672" s="80"/>
      <c r="F672" s="15">
        <f>SUM(F660:F670)</f>
        <v>1832877</v>
      </c>
      <c r="G672" s="15">
        <f t="shared" ref="G672:AX672" si="1015">SUM(G660:G670)</f>
        <v>731302</v>
      </c>
      <c r="H672" s="110">
        <f>F672/G672</f>
        <v>2.5063202343217985</v>
      </c>
      <c r="I672" s="15">
        <f t="shared" si="1015"/>
        <v>679.1</v>
      </c>
      <c r="J672" s="15">
        <f t="shared" si="1015"/>
        <v>54647</v>
      </c>
      <c r="K672" s="15">
        <f t="shared" si="1015"/>
        <v>5481.16</v>
      </c>
      <c r="L672" s="15">
        <f t="shared" si="1015"/>
        <v>0</v>
      </c>
      <c r="M672" s="15">
        <f t="shared" si="1015"/>
        <v>614237</v>
      </c>
      <c r="N672" s="15">
        <f t="shared" si="1015"/>
        <v>602813</v>
      </c>
      <c r="O672" s="15">
        <f t="shared" si="1015"/>
        <v>436872</v>
      </c>
      <c r="P672" s="15">
        <f t="shared" si="1015"/>
        <v>86089</v>
      </c>
      <c r="Q672" s="15">
        <f t="shared" si="1015"/>
        <v>731302</v>
      </c>
      <c r="R672" s="15">
        <f t="shared" si="1015"/>
        <v>0</v>
      </c>
      <c r="S672" s="15">
        <f t="shared" si="1015"/>
        <v>0</v>
      </c>
      <c r="T672" s="15">
        <f t="shared" si="1015"/>
        <v>0</v>
      </c>
      <c r="U672" s="15">
        <f t="shared" si="1015"/>
        <v>0</v>
      </c>
      <c r="V672" s="15">
        <f t="shared" si="1015"/>
        <v>0</v>
      </c>
      <c r="W672" s="15">
        <f t="shared" si="1015"/>
        <v>0</v>
      </c>
      <c r="X672" s="15">
        <f t="shared" si="1015"/>
        <v>0</v>
      </c>
      <c r="Y672" s="15">
        <f t="shared" si="1015"/>
        <v>0</v>
      </c>
      <c r="Z672" s="15">
        <f t="shared" si="1015"/>
        <v>0</v>
      </c>
      <c r="AA672" s="15">
        <f t="shared" si="1015"/>
        <v>0</v>
      </c>
      <c r="AB672" s="15">
        <f t="shared" si="1015"/>
        <v>0</v>
      </c>
      <c r="AC672" s="15">
        <f t="shared" si="1015"/>
        <v>0</v>
      </c>
      <c r="AD672" s="15">
        <f t="shared" si="1015"/>
        <v>0</v>
      </c>
      <c r="AE672" s="15">
        <f t="shared" si="1015"/>
        <v>0</v>
      </c>
      <c r="AF672" s="15">
        <f t="shared" si="1015"/>
        <v>0</v>
      </c>
      <c r="AG672" s="15">
        <f t="shared" si="1015"/>
        <v>0</v>
      </c>
      <c r="AH672" s="15">
        <f t="shared" si="1015"/>
        <v>0</v>
      </c>
      <c r="AI672" s="15">
        <f t="shared" si="1015"/>
        <v>0</v>
      </c>
      <c r="AJ672" s="15">
        <f t="shared" si="1015"/>
        <v>0</v>
      </c>
      <c r="AK672" s="15">
        <f t="shared" si="1015"/>
        <v>0</v>
      </c>
      <c r="AL672" s="15">
        <f t="shared" si="1015"/>
        <v>0</v>
      </c>
      <c r="AM672" s="45">
        <f t="shared" si="1015"/>
        <v>0</v>
      </c>
      <c r="AN672" s="15">
        <f t="shared" si="1015"/>
        <v>0</v>
      </c>
      <c r="AO672" s="15">
        <f t="shared" si="1015"/>
        <v>0</v>
      </c>
      <c r="AP672" s="15">
        <f t="shared" si="1015"/>
        <v>0</v>
      </c>
      <c r="AQ672" s="15">
        <f t="shared" si="1015"/>
        <v>0</v>
      </c>
      <c r="AR672" s="15">
        <f t="shared" si="1015"/>
        <v>0</v>
      </c>
      <c r="AS672" s="15">
        <f t="shared" si="1015"/>
        <v>0</v>
      </c>
      <c r="AT672" s="15">
        <f t="shared" si="1015"/>
        <v>0</v>
      </c>
      <c r="AU672" s="15">
        <f t="shared" si="1015"/>
        <v>0</v>
      </c>
      <c r="AV672" s="15">
        <f t="shared" si="1015"/>
        <v>0</v>
      </c>
      <c r="AW672" s="15">
        <f t="shared" si="1015"/>
        <v>0</v>
      </c>
      <c r="AX672" s="15">
        <f t="shared" si="1015"/>
        <v>0</v>
      </c>
    </row>
    <row r="673" spans="1:50" x14ac:dyDescent="0.2">
      <c r="A673" s="8"/>
      <c r="B673" s="8"/>
      <c r="C673" s="8" t="s">
        <v>32</v>
      </c>
      <c r="D673" s="8"/>
      <c r="E673" s="80"/>
      <c r="F673" s="10">
        <f t="shared" ref="F673:AX673" si="1016">MIN(F660:F670)</f>
        <v>40866</v>
      </c>
      <c r="G673" s="10">
        <f t="shared" si="1016"/>
        <v>14361</v>
      </c>
      <c r="H673" s="10">
        <f t="shared" si="1016"/>
        <v>1.899284530745325</v>
      </c>
      <c r="I673" s="10">
        <f t="shared" si="1016"/>
        <v>7.1</v>
      </c>
      <c r="J673" s="10">
        <f t="shared" si="1016"/>
        <v>696.6</v>
      </c>
      <c r="K673" s="10">
        <f t="shared" si="1016"/>
        <v>372</v>
      </c>
      <c r="L673" s="10">
        <f t="shared" si="1016"/>
        <v>0</v>
      </c>
      <c r="M673" s="10">
        <f t="shared" si="1016"/>
        <v>14190</v>
      </c>
      <c r="N673" s="10">
        <f t="shared" si="1016"/>
        <v>10811</v>
      </c>
      <c r="O673" s="10">
        <f t="shared" si="1016"/>
        <v>0</v>
      </c>
      <c r="P673" s="10">
        <f t="shared" si="1016"/>
        <v>0</v>
      </c>
      <c r="Q673" s="10">
        <f t="shared" si="1016"/>
        <v>14361</v>
      </c>
      <c r="R673" s="10">
        <f t="shared" si="1016"/>
        <v>0</v>
      </c>
      <c r="S673" s="10">
        <f t="shared" si="1016"/>
        <v>0</v>
      </c>
      <c r="T673" s="10">
        <f t="shared" si="1016"/>
        <v>0</v>
      </c>
      <c r="U673" s="10">
        <f t="shared" si="1016"/>
        <v>0</v>
      </c>
      <c r="V673" s="10">
        <f t="shared" si="1016"/>
        <v>0</v>
      </c>
      <c r="W673" s="10">
        <f t="shared" si="1016"/>
        <v>0</v>
      </c>
      <c r="X673" s="10">
        <f t="shared" si="1016"/>
        <v>0</v>
      </c>
      <c r="Y673" s="10">
        <f t="shared" si="1016"/>
        <v>0</v>
      </c>
      <c r="Z673" s="10">
        <f t="shared" si="1016"/>
        <v>0</v>
      </c>
      <c r="AA673" s="10">
        <f t="shared" si="1016"/>
        <v>0</v>
      </c>
      <c r="AB673" s="10">
        <f t="shared" si="1016"/>
        <v>0</v>
      </c>
      <c r="AC673" s="10">
        <f t="shared" si="1016"/>
        <v>0</v>
      </c>
      <c r="AD673" s="10">
        <f t="shared" si="1016"/>
        <v>0</v>
      </c>
      <c r="AE673" s="10">
        <f t="shared" si="1016"/>
        <v>0</v>
      </c>
      <c r="AF673" s="10">
        <f t="shared" si="1016"/>
        <v>0</v>
      </c>
      <c r="AG673" s="10">
        <f t="shared" si="1016"/>
        <v>0</v>
      </c>
      <c r="AH673" s="10">
        <f t="shared" si="1016"/>
        <v>0</v>
      </c>
      <c r="AI673" s="10">
        <f t="shared" si="1016"/>
        <v>0</v>
      </c>
      <c r="AJ673" s="10">
        <f t="shared" si="1016"/>
        <v>0</v>
      </c>
      <c r="AK673" s="10">
        <f t="shared" si="1016"/>
        <v>0</v>
      </c>
      <c r="AL673" s="10">
        <f t="shared" si="1016"/>
        <v>0</v>
      </c>
      <c r="AM673" s="46">
        <f t="shared" si="1016"/>
        <v>0</v>
      </c>
      <c r="AN673" s="10">
        <f t="shared" si="1016"/>
        <v>0</v>
      </c>
      <c r="AO673" s="10">
        <f t="shared" si="1016"/>
        <v>0</v>
      </c>
      <c r="AP673" s="10">
        <f t="shared" si="1016"/>
        <v>0</v>
      </c>
      <c r="AQ673" s="10">
        <f t="shared" si="1016"/>
        <v>0</v>
      </c>
      <c r="AR673" s="10">
        <f t="shared" si="1016"/>
        <v>0</v>
      </c>
      <c r="AS673" s="10">
        <f t="shared" si="1016"/>
        <v>0</v>
      </c>
      <c r="AT673" s="10">
        <f t="shared" si="1016"/>
        <v>0</v>
      </c>
      <c r="AU673" s="10">
        <f t="shared" si="1016"/>
        <v>0</v>
      </c>
      <c r="AV673" s="10">
        <f t="shared" si="1016"/>
        <v>0</v>
      </c>
      <c r="AW673" s="10">
        <f t="shared" si="1016"/>
        <v>0</v>
      </c>
      <c r="AX673" s="10">
        <f t="shared" si="1016"/>
        <v>0</v>
      </c>
    </row>
    <row r="674" spans="1:50" x14ac:dyDescent="0.2">
      <c r="A674" s="8"/>
      <c r="B674" s="8"/>
      <c r="C674" s="8" t="s">
        <v>33</v>
      </c>
      <c r="D674" s="8"/>
      <c r="E674" s="80"/>
      <c r="F674" s="10">
        <f t="shared" ref="F674:AX674" si="1017">MAX(F660:F670)</f>
        <v>380406</v>
      </c>
      <c r="G674" s="10">
        <f t="shared" si="1017"/>
        <v>137601</v>
      </c>
      <c r="H674" s="10">
        <f t="shared" si="1017"/>
        <v>2.8456235638186755</v>
      </c>
      <c r="I674" s="10">
        <f t="shared" si="1017"/>
        <v>333.6</v>
      </c>
      <c r="J674" s="10">
        <f t="shared" si="1017"/>
        <v>9301</v>
      </c>
      <c r="K674" s="10">
        <f t="shared" si="1017"/>
        <v>604.75</v>
      </c>
      <c r="L674" s="10">
        <f t="shared" si="1017"/>
        <v>0</v>
      </c>
      <c r="M674" s="10">
        <f t="shared" si="1017"/>
        <v>129115</v>
      </c>
      <c r="N674" s="10">
        <f t="shared" si="1017"/>
        <v>129115</v>
      </c>
      <c r="O674" s="10">
        <f t="shared" si="1017"/>
        <v>93102</v>
      </c>
      <c r="P674" s="10">
        <f t="shared" si="1017"/>
        <v>59692</v>
      </c>
      <c r="Q674" s="10">
        <f t="shared" si="1017"/>
        <v>137601</v>
      </c>
      <c r="R674" s="10">
        <f t="shared" si="1017"/>
        <v>0</v>
      </c>
      <c r="S674" s="10">
        <f t="shared" si="1017"/>
        <v>0</v>
      </c>
      <c r="T674" s="10">
        <f t="shared" si="1017"/>
        <v>0</v>
      </c>
      <c r="U674" s="10">
        <f t="shared" si="1017"/>
        <v>0</v>
      </c>
      <c r="V674" s="10">
        <f t="shared" si="1017"/>
        <v>0</v>
      </c>
      <c r="W674" s="10">
        <f t="shared" si="1017"/>
        <v>0</v>
      </c>
      <c r="X674" s="10">
        <f t="shared" si="1017"/>
        <v>0</v>
      </c>
      <c r="Y674" s="10">
        <f t="shared" si="1017"/>
        <v>0</v>
      </c>
      <c r="Z674" s="10">
        <f t="shared" si="1017"/>
        <v>0</v>
      </c>
      <c r="AA674" s="10">
        <f t="shared" si="1017"/>
        <v>0</v>
      </c>
      <c r="AB674" s="10">
        <f t="shared" si="1017"/>
        <v>0</v>
      </c>
      <c r="AC674" s="10">
        <f t="shared" si="1017"/>
        <v>0</v>
      </c>
      <c r="AD674" s="10">
        <f t="shared" si="1017"/>
        <v>0</v>
      </c>
      <c r="AE674" s="10">
        <f t="shared" si="1017"/>
        <v>0</v>
      </c>
      <c r="AF674" s="10">
        <f t="shared" si="1017"/>
        <v>0</v>
      </c>
      <c r="AG674" s="10">
        <f t="shared" si="1017"/>
        <v>0</v>
      </c>
      <c r="AH674" s="10">
        <f t="shared" si="1017"/>
        <v>0</v>
      </c>
      <c r="AI674" s="10">
        <f t="shared" si="1017"/>
        <v>0</v>
      </c>
      <c r="AJ674" s="10">
        <f t="shared" si="1017"/>
        <v>0</v>
      </c>
      <c r="AK674" s="10">
        <f t="shared" si="1017"/>
        <v>0</v>
      </c>
      <c r="AL674" s="10">
        <f t="shared" si="1017"/>
        <v>0</v>
      </c>
      <c r="AM674" s="46">
        <f t="shared" si="1017"/>
        <v>0</v>
      </c>
      <c r="AN674" s="10">
        <f t="shared" si="1017"/>
        <v>0</v>
      </c>
      <c r="AO674" s="10">
        <f t="shared" si="1017"/>
        <v>0</v>
      </c>
      <c r="AP674" s="10">
        <f t="shared" si="1017"/>
        <v>0</v>
      </c>
      <c r="AQ674" s="10">
        <f t="shared" si="1017"/>
        <v>0</v>
      </c>
      <c r="AR674" s="10">
        <f t="shared" si="1017"/>
        <v>0</v>
      </c>
      <c r="AS674" s="10">
        <f t="shared" si="1017"/>
        <v>0</v>
      </c>
      <c r="AT674" s="10">
        <f t="shared" si="1017"/>
        <v>0</v>
      </c>
      <c r="AU674" s="10">
        <f t="shared" si="1017"/>
        <v>0</v>
      </c>
      <c r="AV674" s="10">
        <f t="shared" si="1017"/>
        <v>0</v>
      </c>
      <c r="AW674" s="10">
        <f t="shared" si="1017"/>
        <v>0</v>
      </c>
      <c r="AX674" s="10">
        <f t="shared" si="1017"/>
        <v>0</v>
      </c>
    </row>
    <row r="675" spans="1:50" x14ac:dyDescent="0.2">
      <c r="A675" s="8"/>
      <c r="B675" s="8"/>
      <c r="C675" s="8" t="s">
        <v>34</v>
      </c>
      <c r="D675" s="8"/>
      <c r="E675" s="80"/>
      <c r="F675" s="10">
        <f t="shared" ref="F675:AX675" si="1018">AVERAGE(F659:F670)</f>
        <v>166625.18181818182</v>
      </c>
      <c r="G675" s="10">
        <f t="shared" si="1018"/>
        <v>66482</v>
      </c>
      <c r="H675" s="10">
        <f t="shared" si="1018"/>
        <v>2.5415096508574879</v>
      </c>
      <c r="I675" s="10">
        <f t="shared" si="1018"/>
        <v>61.736363636363642</v>
      </c>
      <c r="J675" s="10">
        <f t="shared" si="1018"/>
        <v>4967.909090909091</v>
      </c>
      <c r="K675" s="10">
        <f t="shared" si="1018"/>
        <v>498.28727272727269</v>
      </c>
      <c r="L675" s="10" t="e">
        <f t="shared" si="1018"/>
        <v>#DIV/0!</v>
      </c>
      <c r="M675" s="10">
        <f t="shared" si="1018"/>
        <v>55839.727272727272</v>
      </c>
      <c r="N675" s="10">
        <f t="shared" si="1018"/>
        <v>54801.181818181816</v>
      </c>
      <c r="O675" s="10">
        <f t="shared" si="1018"/>
        <v>39715.63636363636</v>
      </c>
      <c r="P675" s="10">
        <f t="shared" si="1018"/>
        <v>7826.272727272727</v>
      </c>
      <c r="Q675" s="10">
        <f t="shared" si="1018"/>
        <v>66482</v>
      </c>
      <c r="R675" s="10" t="e">
        <f t="shared" si="1018"/>
        <v>#DIV/0!</v>
      </c>
      <c r="S675" s="10">
        <f t="shared" si="1018"/>
        <v>0</v>
      </c>
      <c r="T675" s="10">
        <f t="shared" si="1018"/>
        <v>0</v>
      </c>
      <c r="U675" s="10">
        <f t="shared" si="1018"/>
        <v>0</v>
      </c>
      <c r="V675" s="10">
        <f t="shared" si="1018"/>
        <v>0</v>
      </c>
      <c r="W675" s="10">
        <f t="shared" si="1018"/>
        <v>0</v>
      </c>
      <c r="X675" s="10">
        <f t="shared" si="1018"/>
        <v>0</v>
      </c>
      <c r="Y675" s="10">
        <f t="shared" si="1018"/>
        <v>0</v>
      </c>
      <c r="Z675" s="10">
        <f t="shared" si="1018"/>
        <v>0</v>
      </c>
      <c r="AA675" s="10">
        <f t="shared" si="1018"/>
        <v>0</v>
      </c>
      <c r="AB675" s="10">
        <f t="shared" si="1018"/>
        <v>0</v>
      </c>
      <c r="AC675" s="10">
        <f t="shared" si="1018"/>
        <v>0</v>
      </c>
      <c r="AD675" s="10">
        <f t="shared" si="1018"/>
        <v>0</v>
      </c>
      <c r="AE675" s="10">
        <f t="shared" si="1018"/>
        <v>0</v>
      </c>
      <c r="AF675" s="10">
        <f t="shared" si="1018"/>
        <v>0</v>
      </c>
      <c r="AG675" s="10">
        <f t="shared" si="1018"/>
        <v>0</v>
      </c>
      <c r="AH675" s="10">
        <f t="shared" si="1018"/>
        <v>0</v>
      </c>
      <c r="AI675" s="10">
        <f t="shared" si="1018"/>
        <v>0</v>
      </c>
      <c r="AJ675" s="10">
        <f t="shared" si="1018"/>
        <v>0</v>
      </c>
      <c r="AK675" s="10">
        <f t="shared" si="1018"/>
        <v>0</v>
      </c>
      <c r="AL675" s="10">
        <f t="shared" si="1018"/>
        <v>0</v>
      </c>
      <c r="AM675" s="46">
        <f t="shared" si="1018"/>
        <v>0</v>
      </c>
      <c r="AN675" s="10">
        <f t="shared" si="1018"/>
        <v>0</v>
      </c>
      <c r="AO675" s="10">
        <f t="shared" si="1018"/>
        <v>0</v>
      </c>
      <c r="AP675" s="10">
        <f t="shared" si="1018"/>
        <v>0</v>
      </c>
      <c r="AQ675" s="10">
        <f t="shared" si="1018"/>
        <v>0</v>
      </c>
      <c r="AR675" s="10">
        <f t="shared" si="1018"/>
        <v>0</v>
      </c>
      <c r="AS675" s="10">
        <f t="shared" si="1018"/>
        <v>0</v>
      </c>
      <c r="AT675" s="10">
        <f t="shared" si="1018"/>
        <v>0</v>
      </c>
      <c r="AU675" s="10">
        <f t="shared" si="1018"/>
        <v>0</v>
      </c>
      <c r="AV675" s="10">
        <f t="shared" si="1018"/>
        <v>0</v>
      </c>
      <c r="AW675" s="10">
        <f t="shared" si="1018"/>
        <v>0</v>
      </c>
      <c r="AX675" s="10">
        <f t="shared" si="1018"/>
        <v>0</v>
      </c>
    </row>
    <row r="676" spans="1:50" ht="13.5" thickBot="1" x14ac:dyDescent="0.25">
      <c r="A676" s="16"/>
      <c r="B676" s="16"/>
      <c r="C676" s="16" t="s">
        <v>35</v>
      </c>
      <c r="D676" s="16"/>
      <c r="E676" s="80"/>
      <c r="F676" s="18">
        <f t="shared" ref="F676:AX676" si="1019">MEDIAN(F660:F670)</f>
        <v>160272</v>
      </c>
      <c r="G676" s="18">
        <f t="shared" si="1019"/>
        <v>61271</v>
      </c>
      <c r="H676" s="18">
        <f t="shared" si="1019"/>
        <v>2.6157888723866103</v>
      </c>
      <c r="I676" s="18">
        <f t="shared" si="1019"/>
        <v>35.4</v>
      </c>
      <c r="J676" s="18">
        <f t="shared" si="1019"/>
        <v>4840.6000000000004</v>
      </c>
      <c r="K676" s="18">
        <f t="shared" si="1019"/>
        <v>517.08000000000004</v>
      </c>
      <c r="L676" s="18" t="e">
        <f t="shared" si="1019"/>
        <v>#NUM!</v>
      </c>
      <c r="M676" s="18">
        <f t="shared" si="1019"/>
        <v>57705</v>
      </c>
      <c r="N676" s="18">
        <f t="shared" si="1019"/>
        <v>59328</v>
      </c>
      <c r="O676" s="18">
        <f t="shared" si="1019"/>
        <v>34458</v>
      </c>
      <c r="P676" s="18">
        <f t="shared" si="1019"/>
        <v>0</v>
      </c>
      <c r="Q676" s="18">
        <f t="shared" si="1019"/>
        <v>61271</v>
      </c>
      <c r="R676" s="18" t="e">
        <f t="shared" si="1019"/>
        <v>#NUM!</v>
      </c>
      <c r="S676" s="18">
        <f t="shared" si="1019"/>
        <v>0</v>
      </c>
      <c r="T676" s="18">
        <f t="shared" si="1019"/>
        <v>0</v>
      </c>
      <c r="U676" s="18">
        <f t="shared" si="1019"/>
        <v>0</v>
      </c>
      <c r="V676" s="18">
        <f t="shared" si="1019"/>
        <v>0</v>
      </c>
      <c r="W676" s="18">
        <f t="shared" si="1019"/>
        <v>0</v>
      </c>
      <c r="X676" s="18">
        <f t="shared" si="1019"/>
        <v>0</v>
      </c>
      <c r="Y676" s="18">
        <f t="shared" si="1019"/>
        <v>0</v>
      </c>
      <c r="Z676" s="18">
        <f t="shared" si="1019"/>
        <v>0</v>
      </c>
      <c r="AA676" s="18">
        <f t="shared" si="1019"/>
        <v>0</v>
      </c>
      <c r="AB676" s="18">
        <f t="shared" si="1019"/>
        <v>0</v>
      </c>
      <c r="AC676" s="18">
        <f t="shared" si="1019"/>
        <v>0</v>
      </c>
      <c r="AD676" s="18">
        <f t="shared" si="1019"/>
        <v>0</v>
      </c>
      <c r="AE676" s="18">
        <f t="shared" si="1019"/>
        <v>0</v>
      </c>
      <c r="AF676" s="18">
        <f t="shared" si="1019"/>
        <v>0</v>
      </c>
      <c r="AG676" s="18">
        <f t="shared" si="1019"/>
        <v>0</v>
      </c>
      <c r="AH676" s="18">
        <f t="shared" si="1019"/>
        <v>0</v>
      </c>
      <c r="AI676" s="18">
        <f t="shared" si="1019"/>
        <v>0</v>
      </c>
      <c r="AJ676" s="18">
        <f t="shared" si="1019"/>
        <v>0</v>
      </c>
      <c r="AK676" s="18">
        <f t="shared" si="1019"/>
        <v>0</v>
      </c>
      <c r="AL676" s="18">
        <f t="shared" si="1019"/>
        <v>0</v>
      </c>
      <c r="AM676" s="47">
        <f t="shared" si="1019"/>
        <v>0</v>
      </c>
      <c r="AN676" s="18">
        <f t="shared" si="1019"/>
        <v>0</v>
      </c>
      <c r="AO676" s="18">
        <f t="shared" si="1019"/>
        <v>0</v>
      </c>
      <c r="AP676" s="18">
        <f t="shared" si="1019"/>
        <v>0</v>
      </c>
      <c r="AQ676" s="18">
        <f t="shared" si="1019"/>
        <v>0</v>
      </c>
      <c r="AR676" s="18">
        <f t="shared" si="1019"/>
        <v>0</v>
      </c>
      <c r="AS676" s="18">
        <f t="shared" si="1019"/>
        <v>0</v>
      </c>
      <c r="AT676" s="18">
        <f t="shared" si="1019"/>
        <v>0</v>
      </c>
      <c r="AU676" s="18">
        <f t="shared" si="1019"/>
        <v>0</v>
      </c>
      <c r="AV676" s="18">
        <f t="shared" si="1019"/>
        <v>0</v>
      </c>
      <c r="AW676" s="18">
        <f t="shared" si="1019"/>
        <v>0</v>
      </c>
      <c r="AX676" s="18">
        <f t="shared" si="1019"/>
        <v>0</v>
      </c>
    </row>
    <row r="677" spans="1:50" ht="13.5" thickTop="1" x14ac:dyDescent="0.2">
      <c r="B677"/>
      <c r="C677" s="5"/>
      <c r="D677" s="5"/>
    </row>
    <row r="678" spans="1:50" ht="13.5" thickBot="1" x14ac:dyDescent="0.25">
      <c r="A678" s="25"/>
      <c r="B678" s="25"/>
      <c r="C678" s="27" t="s">
        <v>41</v>
      </c>
      <c r="D678" s="27">
        <v>5</v>
      </c>
    </row>
    <row r="679" spans="1:50" ht="13.5" thickTop="1" x14ac:dyDescent="0.2">
      <c r="A679" s="8">
        <v>14400</v>
      </c>
      <c r="B679" s="89" t="str">
        <f t="shared" ref="B679:B682" si="1020">VLOOKUP($A679,$A$5:$K$132,2,FALSE)</f>
        <v>Kiama</v>
      </c>
      <c r="C679" s="9" t="str">
        <f t="shared" ref="C679:C682" si="1021">VLOOKUP($A679,$A$5:$K$133,3,FALSE)</f>
        <v>ISJO</v>
      </c>
      <c r="D679" s="51" t="str">
        <f t="shared" ref="D679:D682" si="1022">VLOOKUP($A679,$A$5:$K$133,4,FALSE)</f>
        <v>E</v>
      </c>
      <c r="E679" s="10" t="str">
        <f t="shared" ref="E679:E682" si="1023">VLOOKUP($A679,$A$5:$AX$132,5,FALSE)</f>
        <v>ISJO</v>
      </c>
      <c r="F679" s="10">
        <f t="shared" ref="F679:F682" si="1024">VLOOKUP($A679,$A$5:$AX$132,6,FALSE)</f>
        <v>23685</v>
      </c>
      <c r="G679" s="10">
        <f t="shared" ref="G679:G682" si="1025">VLOOKUP($A679,$A$5:$AX$132,7,FALSE)</f>
        <v>12389</v>
      </c>
      <c r="H679" s="10">
        <f t="shared" ref="H679:H682" si="1026">VLOOKUP($A679,$A$5:$AX$132,8,FALSE)</f>
        <v>1.9117765759948342</v>
      </c>
      <c r="I679" s="10">
        <f t="shared" ref="I679:I682" si="1027">VLOOKUP($A679,$A$5:$AX$132,9,FALSE)</f>
        <v>257.7</v>
      </c>
      <c r="J679" s="10">
        <f t="shared" ref="J679:J682" si="1028">VLOOKUP($A679,$A$5:$AX$132,10,FALSE)</f>
        <v>91.9</v>
      </c>
      <c r="K679" s="10">
        <f t="shared" ref="K679:K682" si="1029">VLOOKUP($A679,$A$5:$AX$132,11,FALSE)</f>
        <v>601.91</v>
      </c>
      <c r="L679" s="10" t="str">
        <f t="shared" ref="L679:L682" si="1030">VLOOKUP($A679,$A$4:$AX$132,12,FALSE)</f>
        <v>Y</v>
      </c>
      <c r="M679" s="10">
        <f t="shared" ref="M679:M682" si="1031">VLOOKUP($A679,$A$4:$AX$132,13,FALSE)</f>
        <v>10149</v>
      </c>
      <c r="N679" s="10">
        <f t="shared" ref="N679:N682" si="1032">VLOOKUP($A679,$A$4:$AX$132,14,FALSE)</f>
        <v>9600</v>
      </c>
      <c r="O679" s="10">
        <f t="shared" ref="O679:O682" si="1033">VLOOKUP($A679,$A$4:$AX$132,15,FALSE)</f>
        <v>0</v>
      </c>
      <c r="P679" s="10">
        <f t="shared" ref="P679:P682" si="1034">VLOOKUP($A679,$A$4:$AX$132,16,FALSE)</f>
        <v>9622</v>
      </c>
      <c r="Q679" s="10">
        <f t="shared" ref="Q679:Q682" si="1035">VLOOKUP($A679,$A$4:$AX$132,17,FALSE)</f>
        <v>12389</v>
      </c>
      <c r="R679" s="10" t="str">
        <f t="shared" ref="R679:R682" si="1036">VLOOKUP($A679,$A$4:$AX$132,18,FALSE)</f>
        <v>Yes</v>
      </c>
      <c r="S679" s="10" t="str">
        <f t="shared" ref="S679:S682" si="1037">VLOOKUP($A679,$A$4:$AX$132,19,FALSE)</f>
        <v>Minnamurra Waste disposal Depot</v>
      </c>
      <c r="T679" s="10">
        <f t="shared" ref="T679:T682" si="1038">VLOOKUP($A679,$A$4:$AX$132,20,FALSE)</f>
        <v>0</v>
      </c>
      <c r="U679" s="10">
        <f t="shared" ref="U679:U682" si="1039">VLOOKUP($A679,$A$4:$AX$132,21,FALSE)</f>
        <v>0</v>
      </c>
      <c r="V679" s="10">
        <f t="shared" ref="V679:V682" si="1040">VLOOKUP($A679,$A$4:$AX$132,22,FALSE)</f>
        <v>0</v>
      </c>
      <c r="W679" s="10">
        <f t="shared" ref="W679:W682" si="1041">VLOOKUP($A679,$A$4:$AX$132,23,FALSE)</f>
        <v>0</v>
      </c>
      <c r="X679" s="10">
        <f t="shared" ref="X679:X682" si="1042">VLOOKUP($A679,$A$4:$AX$132,24,FALSE)</f>
        <v>0</v>
      </c>
      <c r="Y679" s="10">
        <f t="shared" ref="Y679:Y682" si="1043">VLOOKUP($A679,$A$4:$AX$132,25,FALSE)</f>
        <v>0</v>
      </c>
      <c r="Z679" s="10">
        <f t="shared" ref="Z679:Z682" si="1044">VLOOKUP($A679,$A$4:$AX$132,26,FALSE)</f>
        <v>0</v>
      </c>
      <c r="AA679" s="10">
        <f t="shared" ref="AA679:AA682" si="1045">VLOOKUP($A679,$A$4:$AX$132,27,FALSE)</f>
        <v>0</v>
      </c>
      <c r="AB679" s="10">
        <f t="shared" ref="AB679:AB682" si="1046">VLOOKUP($A679,$A$4:$AX$132,28,FALSE)</f>
        <v>0</v>
      </c>
      <c r="AC679" s="10">
        <f t="shared" ref="AC679:AC682" si="1047">VLOOKUP($A679,$A$4:$AX$132,29,FALSE)</f>
        <v>0</v>
      </c>
      <c r="AD679" s="10">
        <f t="shared" ref="AD679:AD682" si="1048">VLOOKUP($A679,$A$4:$AX$132,30,FALSE)</f>
        <v>0</v>
      </c>
      <c r="AE679" s="10">
        <f t="shared" ref="AE679:AE682" si="1049">VLOOKUP($A679,$A$4:$AX$132,31,FALSE)</f>
        <v>0</v>
      </c>
      <c r="AF679" s="10">
        <f t="shared" ref="AF679:AF682" si="1050">VLOOKUP($A679,$A$4:$AX$132,32,FALSE)</f>
        <v>0</v>
      </c>
      <c r="AG679" s="10">
        <f t="shared" ref="AG679:AG682" si="1051">VLOOKUP($A679,$A$4:$AX$132,33,FALSE)</f>
        <v>0</v>
      </c>
      <c r="AH679" s="10">
        <f t="shared" ref="AH679:AH682" si="1052">VLOOKUP($A679,$A$4:$AX$132,34,FALSE)</f>
        <v>0</v>
      </c>
      <c r="AI679" s="10">
        <f t="shared" ref="AI679:AI682" si="1053">VLOOKUP($A679,$A$4:$AX$132,35,FALSE)</f>
        <v>0</v>
      </c>
      <c r="AJ679" s="10">
        <f t="shared" ref="AJ679:AJ682" si="1054">VLOOKUP($A679,$A$4:$AX$132,36,FALSE)</f>
        <v>0</v>
      </c>
      <c r="AK679" s="10">
        <f t="shared" ref="AK679:AK682" si="1055">VLOOKUP($A679,$A$4:$AX$132,37,FALSE)</f>
        <v>0</v>
      </c>
      <c r="AL679" s="10">
        <f t="shared" ref="AL679:AL682" si="1056">VLOOKUP($A679,$A$4:$AX$132,38,FALSE)</f>
        <v>0</v>
      </c>
      <c r="AM679" s="10">
        <f t="shared" ref="AM679:AM682" si="1057">VLOOKUP($A679,$A$4:$AX$132,39,FALSE)</f>
        <v>0</v>
      </c>
      <c r="AN679" s="46">
        <f t="shared" ref="AN679:AN682" si="1058">VLOOKUP($A679,$A$4:$AX$132,40,FALSE)</f>
        <v>0</v>
      </c>
      <c r="AO679" s="10">
        <f t="shared" ref="AO679:AO682" si="1059">VLOOKUP($A679,$A$4:$AX$132,41,FALSE)</f>
        <v>0</v>
      </c>
      <c r="AP679" s="10">
        <f t="shared" ref="AP679:AP682" si="1060">VLOOKUP($A679,$A$4:$AX$132,42,FALSE)</f>
        <v>0</v>
      </c>
      <c r="AQ679" s="10">
        <f t="shared" ref="AQ679:AQ682" si="1061">VLOOKUP($A679,$A$4:$AX$132,43,FALSE)</f>
        <v>0</v>
      </c>
      <c r="AR679" s="10">
        <f t="shared" ref="AR679:AR682" si="1062">VLOOKUP($A679,$A$4:$AX$132,44,FALSE)</f>
        <v>0</v>
      </c>
      <c r="AS679" s="10">
        <f t="shared" ref="AS679:AS682" si="1063">VLOOKUP($A679,$A$4:$AX$132,45,FALSE)</f>
        <v>0</v>
      </c>
      <c r="AT679" s="10">
        <f t="shared" ref="AT679:AT682" si="1064">VLOOKUP($A679,$A$4:$AX$132,46,FALSE)</f>
        <v>0</v>
      </c>
      <c r="AU679" s="10">
        <f t="shared" ref="AU679:AU682" si="1065">VLOOKUP($A679,$A$4:$AX$132,47,FALSE)</f>
        <v>0</v>
      </c>
      <c r="AV679" s="10">
        <f t="shared" ref="AV679:AV682" si="1066">VLOOKUP($A679,$A$4:$AX$132,48,FALSE)</f>
        <v>0</v>
      </c>
      <c r="AW679" s="10">
        <f t="shared" ref="AW679:AW682" si="1067">VLOOKUP($A679,$A$4:$AX$132,49,FALSE)</f>
        <v>0</v>
      </c>
      <c r="AX679" s="10">
        <f t="shared" ref="AX679:AX682" si="1068">VLOOKUP($A679,$A$4:$AX$132,50,FALSE)</f>
        <v>0</v>
      </c>
    </row>
    <row r="680" spans="1:50" x14ac:dyDescent="0.2">
      <c r="A680" s="8">
        <v>16900</v>
      </c>
      <c r="B680" s="89" t="str">
        <f t="shared" si="1020"/>
        <v>Shellharbour</v>
      </c>
      <c r="C680" s="9" t="str">
        <f t="shared" si="1021"/>
        <v>ISJO</v>
      </c>
      <c r="D680" s="51" t="str">
        <f t="shared" si="1022"/>
        <v>E</v>
      </c>
      <c r="E680" s="10" t="str">
        <f t="shared" si="1023"/>
        <v>ISJO</v>
      </c>
      <c r="F680" s="10">
        <f t="shared" si="1024"/>
        <v>74622</v>
      </c>
      <c r="G680" s="10">
        <f t="shared" si="1025"/>
        <v>29784</v>
      </c>
      <c r="H680" s="10">
        <f t="shared" si="1026"/>
        <v>2.5054391619661565</v>
      </c>
      <c r="I680" s="10">
        <f t="shared" si="1027"/>
        <v>147.4</v>
      </c>
      <c r="J680" s="10">
        <f t="shared" si="1028"/>
        <v>506.2</v>
      </c>
      <c r="K680" s="10">
        <f t="shared" si="1029"/>
        <v>570</v>
      </c>
      <c r="L680" s="10" t="str">
        <f t="shared" si="1030"/>
        <v>Y</v>
      </c>
      <c r="M680" s="10">
        <f t="shared" si="1031"/>
        <v>28391</v>
      </c>
      <c r="N680" s="10">
        <f t="shared" si="1032"/>
        <v>28621</v>
      </c>
      <c r="O680" s="10">
        <f t="shared" si="1033"/>
        <v>0</v>
      </c>
      <c r="P680" s="10">
        <f t="shared" si="1034"/>
        <v>28621</v>
      </c>
      <c r="Q680" s="10">
        <f t="shared" si="1035"/>
        <v>29784</v>
      </c>
      <c r="R680" s="10" t="str">
        <f t="shared" si="1036"/>
        <v>Yes</v>
      </c>
      <c r="S680" s="10" t="str">
        <f t="shared" si="1037"/>
        <v>Dunmore Recycling and Waste Disposal Depot, 44 Buckleys Road, Dunmore</v>
      </c>
      <c r="T680" s="10">
        <f t="shared" si="1038"/>
        <v>0</v>
      </c>
      <c r="U680" s="10">
        <f t="shared" si="1039"/>
        <v>0</v>
      </c>
      <c r="V680" s="10">
        <f t="shared" si="1040"/>
        <v>0</v>
      </c>
      <c r="W680" s="10">
        <f t="shared" si="1041"/>
        <v>0</v>
      </c>
      <c r="X680" s="10">
        <f t="shared" si="1042"/>
        <v>0</v>
      </c>
      <c r="Y680" s="10">
        <f t="shared" si="1043"/>
        <v>0</v>
      </c>
      <c r="Z680" s="10">
        <f t="shared" si="1044"/>
        <v>0</v>
      </c>
      <c r="AA680" s="10">
        <f t="shared" si="1045"/>
        <v>0</v>
      </c>
      <c r="AB680" s="10">
        <f t="shared" si="1046"/>
        <v>0</v>
      </c>
      <c r="AC680" s="10">
        <f t="shared" si="1047"/>
        <v>0</v>
      </c>
      <c r="AD680" s="10">
        <f t="shared" si="1048"/>
        <v>0</v>
      </c>
      <c r="AE680" s="10">
        <f t="shared" si="1049"/>
        <v>0</v>
      </c>
      <c r="AF680" s="10">
        <f t="shared" si="1050"/>
        <v>0</v>
      </c>
      <c r="AG680" s="10">
        <f t="shared" si="1051"/>
        <v>0</v>
      </c>
      <c r="AH680" s="10">
        <f t="shared" si="1052"/>
        <v>0</v>
      </c>
      <c r="AI680" s="10">
        <f t="shared" si="1053"/>
        <v>0</v>
      </c>
      <c r="AJ680" s="10">
        <f t="shared" si="1054"/>
        <v>0</v>
      </c>
      <c r="AK680" s="10">
        <f t="shared" si="1055"/>
        <v>0</v>
      </c>
      <c r="AL680" s="10">
        <f t="shared" si="1056"/>
        <v>0</v>
      </c>
      <c r="AM680" s="10">
        <f t="shared" si="1057"/>
        <v>0</v>
      </c>
      <c r="AN680" s="46">
        <f t="shared" si="1058"/>
        <v>0</v>
      </c>
      <c r="AO680" s="10">
        <f t="shared" si="1059"/>
        <v>0</v>
      </c>
      <c r="AP680" s="10">
        <f t="shared" si="1060"/>
        <v>0</v>
      </c>
      <c r="AQ680" s="10">
        <f t="shared" si="1061"/>
        <v>0</v>
      </c>
      <c r="AR680" s="10">
        <f t="shared" si="1062"/>
        <v>0</v>
      </c>
      <c r="AS680" s="10">
        <f t="shared" si="1063"/>
        <v>0</v>
      </c>
      <c r="AT680" s="10">
        <f t="shared" si="1064"/>
        <v>0</v>
      </c>
      <c r="AU680" s="10">
        <f t="shared" si="1065"/>
        <v>0</v>
      </c>
      <c r="AV680" s="10">
        <f t="shared" si="1066"/>
        <v>0</v>
      </c>
      <c r="AW680" s="10">
        <f t="shared" si="1067"/>
        <v>0</v>
      </c>
      <c r="AX680" s="10">
        <f t="shared" si="1068"/>
        <v>0</v>
      </c>
    </row>
    <row r="681" spans="1:50" x14ac:dyDescent="0.2">
      <c r="A681" s="8">
        <v>16950</v>
      </c>
      <c r="B681" s="89" t="str">
        <f t="shared" si="1020"/>
        <v>Shoalhaven</v>
      </c>
      <c r="C681" s="9" t="str">
        <f t="shared" si="1021"/>
        <v>ISJO</v>
      </c>
      <c r="D681" s="51" t="str">
        <f t="shared" si="1022"/>
        <v>E</v>
      </c>
      <c r="E681" s="10" t="str">
        <f t="shared" si="1023"/>
        <v>ISJO</v>
      </c>
      <c r="F681" s="10">
        <f t="shared" si="1024"/>
        <v>107191</v>
      </c>
      <c r="G681" s="10">
        <f t="shared" si="1025"/>
        <v>57387</v>
      </c>
      <c r="H681" s="10">
        <f t="shared" si="1026"/>
        <v>1.867862059351421</v>
      </c>
      <c r="I681" s="10">
        <f t="shared" si="1027"/>
        <v>4566.7</v>
      </c>
      <c r="J681" s="10">
        <f t="shared" si="1028"/>
        <v>23.5</v>
      </c>
      <c r="K681" s="10">
        <f t="shared" si="1029"/>
        <v>385</v>
      </c>
      <c r="L681" s="10" t="str">
        <f t="shared" si="1030"/>
        <v>Y</v>
      </c>
      <c r="M681" s="10">
        <f t="shared" si="1031"/>
        <v>51636</v>
      </c>
      <c r="N681" s="10">
        <f t="shared" si="1032"/>
        <v>52912</v>
      </c>
      <c r="O681" s="10">
        <f t="shared" si="1033"/>
        <v>0</v>
      </c>
      <c r="P681" s="10">
        <f t="shared" si="1034"/>
        <v>0</v>
      </c>
      <c r="Q681" s="10">
        <f t="shared" si="1035"/>
        <v>57387</v>
      </c>
      <c r="R681" s="10" t="str">
        <f t="shared" si="1036"/>
        <v>Yes</v>
      </c>
      <c r="S681" s="10" t="str">
        <f t="shared" si="1037"/>
        <v>West Nowra, 120 Flatrock Rd Mundamia</v>
      </c>
      <c r="T681" s="10" t="str">
        <f t="shared" si="1038"/>
        <v>Ulladulla, 94 Pirralea Rd Ulladulla</v>
      </c>
      <c r="U681" s="10" t="str">
        <f t="shared" si="1039"/>
        <v>Huskisson, 235 Huskisson Rd Huskisson</v>
      </c>
      <c r="V681" s="10" t="str">
        <f t="shared" si="1040"/>
        <v>Berry, 175 Agars Lane Berry</v>
      </c>
      <c r="W681" s="10" t="str">
        <f t="shared" si="1041"/>
        <v>Callala, 270 Coonemia Rd Callala</v>
      </c>
      <c r="X681" s="10" t="str">
        <f t="shared" si="1042"/>
        <v>Sussex Inlet, 40 The Springs Rd Sussex Inlet</v>
      </c>
      <c r="Y681" s="10" t="str">
        <f t="shared" si="1043"/>
        <v>Kioloa, 374 Murramarang Rd Kioloa</v>
      </c>
      <c r="Z681" s="10">
        <f t="shared" si="1044"/>
        <v>0</v>
      </c>
      <c r="AA681" s="10">
        <f t="shared" si="1045"/>
        <v>0</v>
      </c>
      <c r="AB681" s="10">
        <f t="shared" si="1046"/>
        <v>0</v>
      </c>
      <c r="AC681" s="10">
        <f t="shared" si="1047"/>
        <v>0</v>
      </c>
      <c r="AD681" s="10">
        <f t="shared" si="1048"/>
        <v>0</v>
      </c>
      <c r="AE681" s="10">
        <f t="shared" si="1049"/>
        <v>0</v>
      </c>
      <c r="AF681" s="10">
        <f t="shared" si="1050"/>
        <v>0</v>
      </c>
      <c r="AG681" s="10">
        <f t="shared" si="1051"/>
        <v>0</v>
      </c>
      <c r="AH681" s="10">
        <f t="shared" si="1052"/>
        <v>0</v>
      </c>
      <c r="AI681" s="10">
        <f t="shared" si="1053"/>
        <v>0</v>
      </c>
      <c r="AJ681" s="10">
        <f t="shared" si="1054"/>
        <v>0</v>
      </c>
      <c r="AK681" s="10">
        <f t="shared" si="1055"/>
        <v>0</v>
      </c>
      <c r="AL681" s="10">
        <f t="shared" si="1056"/>
        <v>0</v>
      </c>
      <c r="AM681" s="10">
        <f t="shared" si="1057"/>
        <v>0</v>
      </c>
      <c r="AN681" s="46">
        <f t="shared" si="1058"/>
        <v>0</v>
      </c>
      <c r="AO681" s="10">
        <f t="shared" si="1059"/>
        <v>0</v>
      </c>
      <c r="AP681" s="10">
        <f t="shared" si="1060"/>
        <v>0</v>
      </c>
      <c r="AQ681" s="10">
        <f t="shared" si="1061"/>
        <v>0</v>
      </c>
      <c r="AR681" s="10">
        <f t="shared" si="1062"/>
        <v>0</v>
      </c>
      <c r="AS681" s="10">
        <f t="shared" si="1063"/>
        <v>0</v>
      </c>
      <c r="AT681" s="10">
        <f t="shared" si="1064"/>
        <v>0</v>
      </c>
      <c r="AU681" s="10">
        <f t="shared" si="1065"/>
        <v>0</v>
      </c>
      <c r="AV681" s="10">
        <f t="shared" si="1066"/>
        <v>0</v>
      </c>
      <c r="AW681" s="10">
        <f t="shared" si="1067"/>
        <v>0</v>
      </c>
      <c r="AX681" s="10">
        <f t="shared" si="1068"/>
        <v>0</v>
      </c>
    </row>
    <row r="682" spans="1:50" ht="13.5" thickBot="1" x14ac:dyDescent="0.25">
      <c r="A682" s="8">
        <v>18450</v>
      </c>
      <c r="B682" s="89" t="str">
        <f t="shared" si="1020"/>
        <v>Wollongong</v>
      </c>
      <c r="C682" s="9" t="str">
        <f t="shared" si="1021"/>
        <v>ISJO</v>
      </c>
      <c r="D682" s="51" t="str">
        <f t="shared" si="1022"/>
        <v>E</v>
      </c>
      <c r="E682" s="10" t="str">
        <f t="shared" si="1023"/>
        <v>ISJO</v>
      </c>
      <c r="F682" s="10">
        <f t="shared" si="1024"/>
        <v>219798</v>
      </c>
      <c r="G682" s="10">
        <f t="shared" si="1025"/>
        <v>90526</v>
      </c>
      <c r="H682" s="10">
        <f t="shared" si="1026"/>
        <v>2.4280096325917415</v>
      </c>
      <c r="I682" s="10">
        <f t="shared" si="1027"/>
        <v>684</v>
      </c>
      <c r="J682" s="10">
        <f t="shared" si="1028"/>
        <v>321.3</v>
      </c>
      <c r="K682" s="10">
        <f t="shared" si="1029"/>
        <v>411</v>
      </c>
      <c r="L682" s="10" t="str">
        <f t="shared" si="1030"/>
        <v>Y</v>
      </c>
      <c r="M682" s="10">
        <f t="shared" si="1031"/>
        <v>86047</v>
      </c>
      <c r="N682" s="10">
        <f t="shared" si="1032"/>
        <v>86047</v>
      </c>
      <c r="O682" s="10">
        <f t="shared" si="1033"/>
        <v>35214</v>
      </c>
      <c r="P682" s="10">
        <f t="shared" si="1034"/>
        <v>50833</v>
      </c>
      <c r="Q682" s="10">
        <f t="shared" si="1035"/>
        <v>90526</v>
      </c>
      <c r="R682" s="10" t="str">
        <f t="shared" si="1036"/>
        <v>Yes</v>
      </c>
      <c r="S682" s="10" t="str">
        <f t="shared" si="1037"/>
        <v>Revolve/CRC</v>
      </c>
      <c r="T682" s="10" t="str">
        <f t="shared" si="1038"/>
        <v>Wollongong Waste and Resource Recovery Park</v>
      </c>
      <c r="U682" s="10">
        <f t="shared" si="1039"/>
        <v>0</v>
      </c>
      <c r="V682" s="10">
        <f t="shared" si="1040"/>
        <v>0</v>
      </c>
      <c r="W682" s="10">
        <f t="shared" si="1041"/>
        <v>0</v>
      </c>
      <c r="X682" s="10">
        <f t="shared" si="1042"/>
        <v>0</v>
      </c>
      <c r="Y682" s="10">
        <f t="shared" si="1043"/>
        <v>0</v>
      </c>
      <c r="Z682" s="10">
        <f t="shared" si="1044"/>
        <v>0</v>
      </c>
      <c r="AA682" s="10">
        <f t="shared" si="1045"/>
        <v>0</v>
      </c>
      <c r="AB682" s="10">
        <f t="shared" si="1046"/>
        <v>0</v>
      </c>
      <c r="AC682" s="10">
        <f t="shared" si="1047"/>
        <v>0</v>
      </c>
      <c r="AD682" s="10">
        <f t="shared" si="1048"/>
        <v>0</v>
      </c>
      <c r="AE682" s="10">
        <f t="shared" si="1049"/>
        <v>0</v>
      </c>
      <c r="AF682" s="10">
        <f t="shared" si="1050"/>
        <v>0</v>
      </c>
      <c r="AG682" s="10">
        <f t="shared" si="1051"/>
        <v>0</v>
      </c>
      <c r="AH682" s="10">
        <f t="shared" si="1052"/>
        <v>0</v>
      </c>
      <c r="AI682" s="10">
        <f t="shared" si="1053"/>
        <v>0</v>
      </c>
      <c r="AJ682" s="10">
        <f t="shared" si="1054"/>
        <v>0</v>
      </c>
      <c r="AK682" s="10">
        <f t="shared" si="1055"/>
        <v>0</v>
      </c>
      <c r="AL682" s="10">
        <f t="shared" si="1056"/>
        <v>0</v>
      </c>
      <c r="AM682" s="10">
        <f t="shared" si="1057"/>
        <v>0</v>
      </c>
      <c r="AN682" s="46">
        <f t="shared" si="1058"/>
        <v>0</v>
      </c>
      <c r="AO682" s="10">
        <f t="shared" si="1059"/>
        <v>0</v>
      </c>
      <c r="AP682" s="10">
        <f t="shared" si="1060"/>
        <v>0</v>
      </c>
      <c r="AQ682" s="10">
        <f t="shared" si="1061"/>
        <v>0</v>
      </c>
      <c r="AR682" s="10">
        <f t="shared" si="1062"/>
        <v>0</v>
      </c>
      <c r="AS682" s="10">
        <f t="shared" si="1063"/>
        <v>0</v>
      </c>
      <c r="AT682" s="10">
        <f t="shared" si="1064"/>
        <v>0</v>
      </c>
      <c r="AU682" s="10">
        <f t="shared" si="1065"/>
        <v>0</v>
      </c>
      <c r="AV682" s="10">
        <f t="shared" si="1066"/>
        <v>0</v>
      </c>
      <c r="AW682" s="10">
        <f t="shared" si="1067"/>
        <v>0</v>
      </c>
      <c r="AX682" s="10">
        <f t="shared" si="1068"/>
        <v>0</v>
      </c>
    </row>
    <row r="683" spans="1:50" ht="13.5" thickTop="1" x14ac:dyDescent="0.2">
      <c r="A683" s="11"/>
      <c r="B683" s="11"/>
      <c r="C683" s="11" t="s">
        <v>30</v>
      </c>
      <c r="D683" s="11"/>
      <c r="E683" s="12"/>
      <c r="F683" s="13">
        <f t="shared" ref="F683:AX683" si="1069">COUNTIF(F679:F682,"&gt;0")</f>
        <v>4</v>
      </c>
      <c r="G683" s="13">
        <f t="shared" si="1069"/>
        <v>4</v>
      </c>
      <c r="H683" s="13">
        <f t="shared" si="1069"/>
        <v>4</v>
      </c>
      <c r="I683" s="13">
        <f t="shared" si="1069"/>
        <v>4</v>
      </c>
      <c r="J683" s="13">
        <f t="shared" si="1069"/>
        <v>4</v>
      </c>
      <c r="K683" s="13">
        <f t="shared" si="1069"/>
        <v>4</v>
      </c>
      <c r="L683" s="13">
        <f t="shared" si="1069"/>
        <v>0</v>
      </c>
      <c r="M683" s="13">
        <f t="shared" si="1069"/>
        <v>4</v>
      </c>
      <c r="N683" s="13">
        <f t="shared" si="1069"/>
        <v>4</v>
      </c>
      <c r="O683" s="13">
        <f t="shared" si="1069"/>
        <v>1</v>
      </c>
      <c r="P683" s="13">
        <f t="shared" si="1069"/>
        <v>3</v>
      </c>
      <c r="Q683" s="13">
        <f t="shared" si="1069"/>
        <v>4</v>
      </c>
      <c r="R683" s="13">
        <f t="shared" si="1069"/>
        <v>0</v>
      </c>
      <c r="S683" s="13">
        <f t="shared" si="1069"/>
        <v>0</v>
      </c>
      <c r="T683" s="13">
        <f t="shared" si="1069"/>
        <v>0</v>
      </c>
      <c r="U683" s="13">
        <f t="shared" si="1069"/>
        <v>0</v>
      </c>
      <c r="V683" s="13">
        <f t="shared" si="1069"/>
        <v>0</v>
      </c>
      <c r="W683" s="13">
        <f t="shared" si="1069"/>
        <v>0</v>
      </c>
      <c r="X683" s="13">
        <f t="shared" si="1069"/>
        <v>0</v>
      </c>
      <c r="Y683" s="13">
        <f t="shared" si="1069"/>
        <v>0</v>
      </c>
      <c r="Z683" s="13">
        <f t="shared" si="1069"/>
        <v>0</v>
      </c>
      <c r="AA683" s="13">
        <f t="shared" si="1069"/>
        <v>0</v>
      </c>
      <c r="AB683" s="13">
        <f t="shared" si="1069"/>
        <v>0</v>
      </c>
      <c r="AC683" s="13">
        <f t="shared" si="1069"/>
        <v>0</v>
      </c>
      <c r="AD683" s="13">
        <f t="shared" si="1069"/>
        <v>0</v>
      </c>
      <c r="AE683" s="13">
        <f t="shared" si="1069"/>
        <v>0</v>
      </c>
      <c r="AF683" s="13">
        <f t="shared" si="1069"/>
        <v>0</v>
      </c>
      <c r="AG683" s="13">
        <f t="shared" si="1069"/>
        <v>0</v>
      </c>
      <c r="AH683" s="13">
        <f t="shared" si="1069"/>
        <v>0</v>
      </c>
      <c r="AI683" s="13">
        <f t="shared" si="1069"/>
        <v>0</v>
      </c>
      <c r="AJ683" s="13">
        <f t="shared" si="1069"/>
        <v>0</v>
      </c>
      <c r="AK683" s="13">
        <f t="shared" si="1069"/>
        <v>0</v>
      </c>
      <c r="AL683" s="13">
        <f t="shared" si="1069"/>
        <v>0</v>
      </c>
      <c r="AM683" s="44">
        <f t="shared" si="1069"/>
        <v>0</v>
      </c>
      <c r="AN683" s="13">
        <f t="shared" si="1069"/>
        <v>0</v>
      </c>
      <c r="AO683" s="13">
        <f t="shared" si="1069"/>
        <v>0</v>
      </c>
      <c r="AP683" s="13">
        <f t="shared" si="1069"/>
        <v>0</v>
      </c>
      <c r="AQ683" s="13">
        <f t="shared" si="1069"/>
        <v>0</v>
      </c>
      <c r="AR683" s="13">
        <f t="shared" si="1069"/>
        <v>0</v>
      </c>
      <c r="AS683" s="13">
        <f t="shared" si="1069"/>
        <v>0</v>
      </c>
      <c r="AT683" s="13">
        <f t="shared" si="1069"/>
        <v>0</v>
      </c>
      <c r="AU683" s="13">
        <f t="shared" si="1069"/>
        <v>0</v>
      </c>
      <c r="AV683" s="13">
        <f t="shared" si="1069"/>
        <v>0</v>
      </c>
      <c r="AW683" s="13">
        <f t="shared" si="1069"/>
        <v>0</v>
      </c>
      <c r="AX683" s="13">
        <f t="shared" si="1069"/>
        <v>0</v>
      </c>
    </row>
    <row r="684" spans="1:50" x14ac:dyDescent="0.2">
      <c r="A684" s="8"/>
      <c r="B684" s="8"/>
      <c r="C684" s="8" t="s">
        <v>31</v>
      </c>
      <c r="D684" s="8"/>
      <c r="E684" s="80"/>
      <c r="F684" s="15">
        <f t="shared" ref="F684:AX684" si="1070">SUM(F679:F682)</f>
        <v>425296</v>
      </c>
      <c r="G684" s="15">
        <f t="shared" si="1070"/>
        <v>190086</v>
      </c>
      <c r="H684" s="110">
        <f>F684/G684</f>
        <v>2.2373872878591796</v>
      </c>
      <c r="I684" s="15">
        <f t="shared" si="1070"/>
        <v>5655.8</v>
      </c>
      <c r="J684" s="15">
        <f t="shared" si="1070"/>
        <v>942.90000000000009</v>
      </c>
      <c r="K684" s="15">
        <f t="shared" si="1070"/>
        <v>1967.9099999999999</v>
      </c>
      <c r="L684" s="15">
        <f t="shared" si="1070"/>
        <v>0</v>
      </c>
      <c r="M684" s="15">
        <f t="shared" si="1070"/>
        <v>176223</v>
      </c>
      <c r="N684" s="15">
        <f t="shared" si="1070"/>
        <v>177180</v>
      </c>
      <c r="O684" s="15">
        <f t="shared" si="1070"/>
        <v>35214</v>
      </c>
      <c r="P684" s="15">
        <f t="shared" si="1070"/>
        <v>89076</v>
      </c>
      <c r="Q684" s="15">
        <f t="shared" si="1070"/>
        <v>190086</v>
      </c>
      <c r="R684" s="15">
        <f t="shared" si="1070"/>
        <v>0</v>
      </c>
      <c r="S684" s="15">
        <f t="shared" si="1070"/>
        <v>0</v>
      </c>
      <c r="T684" s="15">
        <f t="shared" si="1070"/>
        <v>0</v>
      </c>
      <c r="U684" s="15">
        <f t="shared" si="1070"/>
        <v>0</v>
      </c>
      <c r="V684" s="15">
        <f t="shared" si="1070"/>
        <v>0</v>
      </c>
      <c r="W684" s="15">
        <f t="shared" si="1070"/>
        <v>0</v>
      </c>
      <c r="X684" s="15">
        <f t="shared" si="1070"/>
        <v>0</v>
      </c>
      <c r="Y684" s="15">
        <f t="shared" si="1070"/>
        <v>0</v>
      </c>
      <c r="Z684" s="15">
        <f t="shared" si="1070"/>
        <v>0</v>
      </c>
      <c r="AA684" s="15">
        <f t="shared" si="1070"/>
        <v>0</v>
      </c>
      <c r="AB684" s="15">
        <f t="shared" si="1070"/>
        <v>0</v>
      </c>
      <c r="AC684" s="15">
        <f t="shared" si="1070"/>
        <v>0</v>
      </c>
      <c r="AD684" s="15">
        <f t="shared" si="1070"/>
        <v>0</v>
      </c>
      <c r="AE684" s="15">
        <f t="shared" si="1070"/>
        <v>0</v>
      </c>
      <c r="AF684" s="15">
        <f t="shared" si="1070"/>
        <v>0</v>
      </c>
      <c r="AG684" s="15">
        <f t="shared" si="1070"/>
        <v>0</v>
      </c>
      <c r="AH684" s="15">
        <f t="shared" si="1070"/>
        <v>0</v>
      </c>
      <c r="AI684" s="15">
        <f t="shared" si="1070"/>
        <v>0</v>
      </c>
      <c r="AJ684" s="15">
        <f t="shared" si="1070"/>
        <v>0</v>
      </c>
      <c r="AK684" s="15">
        <f t="shared" si="1070"/>
        <v>0</v>
      </c>
      <c r="AL684" s="15">
        <f t="shared" si="1070"/>
        <v>0</v>
      </c>
      <c r="AM684" s="45">
        <f t="shared" si="1070"/>
        <v>0</v>
      </c>
      <c r="AN684" s="15">
        <f t="shared" si="1070"/>
        <v>0</v>
      </c>
      <c r="AO684" s="15">
        <f t="shared" si="1070"/>
        <v>0</v>
      </c>
      <c r="AP684" s="15">
        <f t="shared" si="1070"/>
        <v>0</v>
      </c>
      <c r="AQ684" s="15">
        <f t="shared" si="1070"/>
        <v>0</v>
      </c>
      <c r="AR684" s="15">
        <f t="shared" si="1070"/>
        <v>0</v>
      </c>
      <c r="AS684" s="15">
        <f t="shared" si="1070"/>
        <v>0</v>
      </c>
      <c r="AT684" s="15">
        <f t="shared" si="1070"/>
        <v>0</v>
      </c>
      <c r="AU684" s="15">
        <f t="shared" si="1070"/>
        <v>0</v>
      </c>
      <c r="AV684" s="15">
        <f t="shared" si="1070"/>
        <v>0</v>
      </c>
      <c r="AW684" s="15">
        <f t="shared" si="1070"/>
        <v>0</v>
      </c>
      <c r="AX684" s="15">
        <f t="shared" si="1070"/>
        <v>0</v>
      </c>
    </row>
    <row r="685" spans="1:50" x14ac:dyDescent="0.2">
      <c r="A685" s="8"/>
      <c r="B685" s="8"/>
      <c r="C685" s="8" t="s">
        <v>32</v>
      </c>
      <c r="D685" s="8"/>
      <c r="E685" s="80"/>
      <c r="F685" s="10">
        <f t="shared" ref="F685:AX685" si="1071">MIN(F679:F682)</f>
        <v>23685</v>
      </c>
      <c r="G685" s="10">
        <f t="shared" si="1071"/>
        <v>12389</v>
      </c>
      <c r="H685" s="10">
        <f t="shared" si="1071"/>
        <v>1.867862059351421</v>
      </c>
      <c r="I685" s="10">
        <f t="shared" si="1071"/>
        <v>147.4</v>
      </c>
      <c r="J685" s="10">
        <f t="shared" si="1071"/>
        <v>23.5</v>
      </c>
      <c r="K685" s="10">
        <f t="shared" si="1071"/>
        <v>385</v>
      </c>
      <c r="L685" s="10">
        <f t="shared" si="1071"/>
        <v>0</v>
      </c>
      <c r="M685" s="10">
        <f t="shared" si="1071"/>
        <v>10149</v>
      </c>
      <c r="N685" s="10">
        <f t="shared" si="1071"/>
        <v>9600</v>
      </c>
      <c r="O685" s="10">
        <f t="shared" si="1071"/>
        <v>0</v>
      </c>
      <c r="P685" s="10">
        <f t="shared" si="1071"/>
        <v>0</v>
      </c>
      <c r="Q685" s="10">
        <f t="shared" si="1071"/>
        <v>12389</v>
      </c>
      <c r="R685" s="10">
        <f t="shared" si="1071"/>
        <v>0</v>
      </c>
      <c r="S685" s="10">
        <f t="shared" si="1071"/>
        <v>0</v>
      </c>
      <c r="T685" s="10">
        <f t="shared" si="1071"/>
        <v>0</v>
      </c>
      <c r="U685" s="10">
        <f t="shared" si="1071"/>
        <v>0</v>
      </c>
      <c r="V685" s="10">
        <f t="shared" si="1071"/>
        <v>0</v>
      </c>
      <c r="W685" s="10">
        <f t="shared" si="1071"/>
        <v>0</v>
      </c>
      <c r="X685" s="10">
        <f t="shared" si="1071"/>
        <v>0</v>
      </c>
      <c r="Y685" s="10">
        <f t="shared" si="1071"/>
        <v>0</v>
      </c>
      <c r="Z685" s="10">
        <f t="shared" si="1071"/>
        <v>0</v>
      </c>
      <c r="AA685" s="10">
        <f t="shared" si="1071"/>
        <v>0</v>
      </c>
      <c r="AB685" s="10">
        <f t="shared" si="1071"/>
        <v>0</v>
      </c>
      <c r="AC685" s="10">
        <f t="shared" si="1071"/>
        <v>0</v>
      </c>
      <c r="AD685" s="10">
        <f t="shared" si="1071"/>
        <v>0</v>
      </c>
      <c r="AE685" s="10">
        <f t="shared" si="1071"/>
        <v>0</v>
      </c>
      <c r="AF685" s="10">
        <f t="shared" si="1071"/>
        <v>0</v>
      </c>
      <c r="AG685" s="10">
        <f t="shared" si="1071"/>
        <v>0</v>
      </c>
      <c r="AH685" s="10">
        <f t="shared" si="1071"/>
        <v>0</v>
      </c>
      <c r="AI685" s="10">
        <f t="shared" si="1071"/>
        <v>0</v>
      </c>
      <c r="AJ685" s="10">
        <f t="shared" si="1071"/>
        <v>0</v>
      </c>
      <c r="AK685" s="10">
        <f t="shared" si="1071"/>
        <v>0</v>
      </c>
      <c r="AL685" s="10">
        <f t="shared" si="1071"/>
        <v>0</v>
      </c>
      <c r="AM685" s="46">
        <f t="shared" si="1071"/>
        <v>0</v>
      </c>
      <c r="AN685" s="10">
        <f t="shared" si="1071"/>
        <v>0</v>
      </c>
      <c r="AO685" s="10">
        <f t="shared" si="1071"/>
        <v>0</v>
      </c>
      <c r="AP685" s="10">
        <f t="shared" si="1071"/>
        <v>0</v>
      </c>
      <c r="AQ685" s="10">
        <f t="shared" si="1071"/>
        <v>0</v>
      </c>
      <c r="AR685" s="10">
        <f t="shared" si="1071"/>
        <v>0</v>
      </c>
      <c r="AS685" s="10">
        <f t="shared" si="1071"/>
        <v>0</v>
      </c>
      <c r="AT685" s="10">
        <f t="shared" si="1071"/>
        <v>0</v>
      </c>
      <c r="AU685" s="10">
        <f t="shared" si="1071"/>
        <v>0</v>
      </c>
      <c r="AV685" s="10">
        <f t="shared" si="1071"/>
        <v>0</v>
      </c>
      <c r="AW685" s="10">
        <f t="shared" si="1071"/>
        <v>0</v>
      </c>
      <c r="AX685" s="10">
        <f t="shared" si="1071"/>
        <v>0</v>
      </c>
    </row>
    <row r="686" spans="1:50" x14ac:dyDescent="0.2">
      <c r="A686" s="8"/>
      <c r="B686" s="8"/>
      <c r="C686" s="8" t="s">
        <v>33</v>
      </c>
      <c r="D686" s="8"/>
      <c r="E686" s="80"/>
      <c r="F686" s="10">
        <f t="shared" ref="F686:AX686" si="1072">MAX(F679:F682)</f>
        <v>219798</v>
      </c>
      <c r="G686" s="10">
        <f t="shared" si="1072"/>
        <v>90526</v>
      </c>
      <c r="H686" s="10">
        <f t="shared" si="1072"/>
        <v>2.5054391619661565</v>
      </c>
      <c r="I686" s="10">
        <f t="shared" si="1072"/>
        <v>4566.7</v>
      </c>
      <c r="J686" s="10">
        <f t="shared" si="1072"/>
        <v>506.2</v>
      </c>
      <c r="K686" s="10">
        <f t="shared" si="1072"/>
        <v>601.91</v>
      </c>
      <c r="L686" s="10">
        <f t="shared" si="1072"/>
        <v>0</v>
      </c>
      <c r="M686" s="10">
        <f t="shared" si="1072"/>
        <v>86047</v>
      </c>
      <c r="N686" s="10">
        <f t="shared" si="1072"/>
        <v>86047</v>
      </c>
      <c r="O686" s="10">
        <f t="shared" si="1072"/>
        <v>35214</v>
      </c>
      <c r="P686" s="10">
        <f t="shared" si="1072"/>
        <v>50833</v>
      </c>
      <c r="Q686" s="10">
        <f t="shared" si="1072"/>
        <v>90526</v>
      </c>
      <c r="R686" s="10">
        <f t="shared" si="1072"/>
        <v>0</v>
      </c>
      <c r="S686" s="10">
        <f t="shared" si="1072"/>
        <v>0</v>
      </c>
      <c r="T686" s="10">
        <f t="shared" si="1072"/>
        <v>0</v>
      </c>
      <c r="U686" s="10">
        <f t="shared" si="1072"/>
        <v>0</v>
      </c>
      <c r="V686" s="10">
        <f t="shared" si="1072"/>
        <v>0</v>
      </c>
      <c r="W686" s="10">
        <f t="shared" si="1072"/>
        <v>0</v>
      </c>
      <c r="X686" s="10">
        <f t="shared" si="1072"/>
        <v>0</v>
      </c>
      <c r="Y686" s="10">
        <f t="shared" si="1072"/>
        <v>0</v>
      </c>
      <c r="Z686" s="10">
        <f t="shared" si="1072"/>
        <v>0</v>
      </c>
      <c r="AA686" s="10">
        <f t="shared" si="1072"/>
        <v>0</v>
      </c>
      <c r="AB686" s="10">
        <f t="shared" si="1072"/>
        <v>0</v>
      </c>
      <c r="AC686" s="10">
        <f t="shared" si="1072"/>
        <v>0</v>
      </c>
      <c r="AD686" s="10">
        <f t="shared" si="1072"/>
        <v>0</v>
      </c>
      <c r="AE686" s="10">
        <f t="shared" si="1072"/>
        <v>0</v>
      </c>
      <c r="AF686" s="10">
        <f t="shared" si="1072"/>
        <v>0</v>
      </c>
      <c r="AG686" s="10">
        <f t="shared" si="1072"/>
        <v>0</v>
      </c>
      <c r="AH686" s="10">
        <f t="shared" si="1072"/>
        <v>0</v>
      </c>
      <c r="AI686" s="10">
        <f t="shared" si="1072"/>
        <v>0</v>
      </c>
      <c r="AJ686" s="10">
        <f t="shared" si="1072"/>
        <v>0</v>
      </c>
      <c r="AK686" s="10">
        <f t="shared" si="1072"/>
        <v>0</v>
      </c>
      <c r="AL686" s="10">
        <f t="shared" si="1072"/>
        <v>0</v>
      </c>
      <c r="AM686" s="46">
        <f t="shared" si="1072"/>
        <v>0</v>
      </c>
      <c r="AN686" s="10">
        <f t="shared" si="1072"/>
        <v>0</v>
      </c>
      <c r="AO686" s="10">
        <f t="shared" si="1072"/>
        <v>0</v>
      </c>
      <c r="AP686" s="10">
        <f t="shared" si="1072"/>
        <v>0</v>
      </c>
      <c r="AQ686" s="10">
        <f t="shared" si="1072"/>
        <v>0</v>
      </c>
      <c r="AR686" s="10">
        <f t="shared" si="1072"/>
        <v>0</v>
      </c>
      <c r="AS686" s="10">
        <f t="shared" si="1072"/>
        <v>0</v>
      </c>
      <c r="AT686" s="10">
        <f t="shared" si="1072"/>
        <v>0</v>
      </c>
      <c r="AU686" s="10">
        <f t="shared" si="1072"/>
        <v>0</v>
      </c>
      <c r="AV686" s="10">
        <f t="shared" si="1072"/>
        <v>0</v>
      </c>
      <c r="AW686" s="10">
        <f t="shared" si="1072"/>
        <v>0</v>
      </c>
      <c r="AX686" s="10">
        <f t="shared" si="1072"/>
        <v>0</v>
      </c>
    </row>
    <row r="687" spans="1:50" x14ac:dyDescent="0.2">
      <c r="A687" s="8"/>
      <c r="B687" s="8"/>
      <c r="C687" s="8" t="s">
        <v>34</v>
      </c>
      <c r="D687" s="8"/>
      <c r="E687" s="80"/>
      <c r="F687" s="10">
        <f t="shared" ref="F687:AX687" si="1073">AVERAGE(F679:F682)</f>
        <v>106324</v>
      </c>
      <c r="G687" s="10">
        <f t="shared" si="1073"/>
        <v>47521.5</v>
      </c>
      <c r="H687" s="10">
        <f t="shared" si="1073"/>
        <v>2.1782718574760382</v>
      </c>
      <c r="I687" s="10">
        <f t="shared" si="1073"/>
        <v>1413.95</v>
      </c>
      <c r="J687" s="10">
        <f t="shared" si="1073"/>
        <v>235.72500000000002</v>
      </c>
      <c r="K687" s="10">
        <f t="shared" si="1073"/>
        <v>491.97749999999996</v>
      </c>
      <c r="L687" s="10" t="e">
        <f t="shared" si="1073"/>
        <v>#DIV/0!</v>
      </c>
      <c r="M687" s="10">
        <f t="shared" si="1073"/>
        <v>44055.75</v>
      </c>
      <c r="N687" s="10">
        <f t="shared" si="1073"/>
        <v>44295</v>
      </c>
      <c r="O687" s="10">
        <f t="shared" si="1073"/>
        <v>8803.5</v>
      </c>
      <c r="P687" s="10">
        <f t="shared" si="1073"/>
        <v>22269</v>
      </c>
      <c r="Q687" s="10">
        <f t="shared" si="1073"/>
        <v>47521.5</v>
      </c>
      <c r="R687" s="10" t="e">
        <f t="shared" si="1073"/>
        <v>#DIV/0!</v>
      </c>
      <c r="S687" s="10" t="e">
        <f t="shared" si="1073"/>
        <v>#DIV/0!</v>
      </c>
      <c r="T687" s="10">
        <f t="shared" si="1073"/>
        <v>0</v>
      </c>
      <c r="U687" s="10">
        <f t="shared" si="1073"/>
        <v>0</v>
      </c>
      <c r="V687" s="10">
        <f t="shared" si="1073"/>
        <v>0</v>
      </c>
      <c r="W687" s="10">
        <f t="shared" si="1073"/>
        <v>0</v>
      </c>
      <c r="X687" s="10">
        <f t="shared" si="1073"/>
        <v>0</v>
      </c>
      <c r="Y687" s="10">
        <f t="shared" si="1073"/>
        <v>0</v>
      </c>
      <c r="Z687" s="10">
        <f t="shared" si="1073"/>
        <v>0</v>
      </c>
      <c r="AA687" s="10">
        <f t="shared" si="1073"/>
        <v>0</v>
      </c>
      <c r="AB687" s="10">
        <f t="shared" si="1073"/>
        <v>0</v>
      </c>
      <c r="AC687" s="10">
        <f t="shared" si="1073"/>
        <v>0</v>
      </c>
      <c r="AD687" s="10">
        <f t="shared" si="1073"/>
        <v>0</v>
      </c>
      <c r="AE687" s="10">
        <f t="shared" si="1073"/>
        <v>0</v>
      </c>
      <c r="AF687" s="10">
        <f t="shared" si="1073"/>
        <v>0</v>
      </c>
      <c r="AG687" s="10">
        <f t="shared" si="1073"/>
        <v>0</v>
      </c>
      <c r="AH687" s="10">
        <f t="shared" si="1073"/>
        <v>0</v>
      </c>
      <c r="AI687" s="10">
        <f t="shared" si="1073"/>
        <v>0</v>
      </c>
      <c r="AJ687" s="10">
        <f t="shared" si="1073"/>
        <v>0</v>
      </c>
      <c r="AK687" s="10">
        <f t="shared" si="1073"/>
        <v>0</v>
      </c>
      <c r="AL687" s="10">
        <f t="shared" si="1073"/>
        <v>0</v>
      </c>
      <c r="AM687" s="46">
        <f t="shared" si="1073"/>
        <v>0</v>
      </c>
      <c r="AN687" s="10">
        <f t="shared" si="1073"/>
        <v>0</v>
      </c>
      <c r="AO687" s="10">
        <f t="shared" si="1073"/>
        <v>0</v>
      </c>
      <c r="AP687" s="10">
        <f t="shared" si="1073"/>
        <v>0</v>
      </c>
      <c r="AQ687" s="10">
        <f t="shared" si="1073"/>
        <v>0</v>
      </c>
      <c r="AR687" s="10">
        <f t="shared" si="1073"/>
        <v>0</v>
      </c>
      <c r="AS687" s="10">
        <f t="shared" si="1073"/>
        <v>0</v>
      </c>
      <c r="AT687" s="10">
        <f t="shared" si="1073"/>
        <v>0</v>
      </c>
      <c r="AU687" s="10">
        <f t="shared" si="1073"/>
        <v>0</v>
      </c>
      <c r="AV687" s="10">
        <f t="shared" si="1073"/>
        <v>0</v>
      </c>
      <c r="AW687" s="10">
        <f t="shared" si="1073"/>
        <v>0</v>
      </c>
      <c r="AX687" s="10">
        <f t="shared" si="1073"/>
        <v>0</v>
      </c>
    </row>
    <row r="688" spans="1:50" ht="13.5" thickBot="1" x14ac:dyDescent="0.25">
      <c r="A688" s="16"/>
      <c r="B688" s="16"/>
      <c r="C688" s="16" t="s">
        <v>35</v>
      </c>
      <c r="D688" s="16"/>
      <c r="E688" s="80"/>
      <c r="F688" s="18">
        <f t="shared" ref="F688:AX688" si="1074">MEDIAN(F679:F682)</f>
        <v>90906.5</v>
      </c>
      <c r="G688" s="18">
        <f t="shared" si="1074"/>
        <v>43585.5</v>
      </c>
      <c r="H688" s="18">
        <f t="shared" si="1074"/>
        <v>2.1698931042932879</v>
      </c>
      <c r="I688" s="18">
        <f t="shared" si="1074"/>
        <v>470.85</v>
      </c>
      <c r="J688" s="18">
        <f t="shared" si="1074"/>
        <v>206.60000000000002</v>
      </c>
      <c r="K688" s="18">
        <f t="shared" si="1074"/>
        <v>490.5</v>
      </c>
      <c r="L688" s="18" t="e">
        <f t="shared" si="1074"/>
        <v>#NUM!</v>
      </c>
      <c r="M688" s="18">
        <f t="shared" si="1074"/>
        <v>40013.5</v>
      </c>
      <c r="N688" s="18">
        <f t="shared" si="1074"/>
        <v>40766.5</v>
      </c>
      <c r="O688" s="18">
        <f t="shared" si="1074"/>
        <v>0</v>
      </c>
      <c r="P688" s="18">
        <f t="shared" si="1074"/>
        <v>19121.5</v>
      </c>
      <c r="Q688" s="18">
        <f t="shared" si="1074"/>
        <v>43585.5</v>
      </c>
      <c r="R688" s="18" t="e">
        <f t="shared" si="1074"/>
        <v>#NUM!</v>
      </c>
      <c r="S688" s="18" t="e">
        <f t="shared" si="1074"/>
        <v>#NUM!</v>
      </c>
      <c r="T688" s="18">
        <f t="shared" si="1074"/>
        <v>0</v>
      </c>
      <c r="U688" s="18">
        <f t="shared" si="1074"/>
        <v>0</v>
      </c>
      <c r="V688" s="18">
        <f t="shared" si="1074"/>
        <v>0</v>
      </c>
      <c r="W688" s="18">
        <f t="shared" si="1074"/>
        <v>0</v>
      </c>
      <c r="X688" s="18">
        <f t="shared" si="1074"/>
        <v>0</v>
      </c>
      <c r="Y688" s="18">
        <f t="shared" si="1074"/>
        <v>0</v>
      </c>
      <c r="Z688" s="18">
        <f t="shared" si="1074"/>
        <v>0</v>
      </c>
      <c r="AA688" s="18">
        <f t="shared" si="1074"/>
        <v>0</v>
      </c>
      <c r="AB688" s="18">
        <f t="shared" si="1074"/>
        <v>0</v>
      </c>
      <c r="AC688" s="18">
        <f t="shared" si="1074"/>
        <v>0</v>
      </c>
      <c r="AD688" s="18">
        <f t="shared" si="1074"/>
        <v>0</v>
      </c>
      <c r="AE688" s="18">
        <f t="shared" si="1074"/>
        <v>0</v>
      </c>
      <c r="AF688" s="18">
        <f t="shared" si="1074"/>
        <v>0</v>
      </c>
      <c r="AG688" s="18">
        <f t="shared" si="1074"/>
        <v>0</v>
      </c>
      <c r="AH688" s="18">
        <f t="shared" si="1074"/>
        <v>0</v>
      </c>
      <c r="AI688" s="18">
        <f t="shared" si="1074"/>
        <v>0</v>
      </c>
      <c r="AJ688" s="18">
        <f t="shared" si="1074"/>
        <v>0</v>
      </c>
      <c r="AK688" s="18">
        <f t="shared" si="1074"/>
        <v>0</v>
      </c>
      <c r="AL688" s="18">
        <f t="shared" si="1074"/>
        <v>0</v>
      </c>
      <c r="AM688" s="47">
        <f t="shared" si="1074"/>
        <v>0</v>
      </c>
      <c r="AN688" s="18">
        <f t="shared" si="1074"/>
        <v>0</v>
      </c>
      <c r="AO688" s="18">
        <f t="shared" si="1074"/>
        <v>0</v>
      </c>
      <c r="AP688" s="18">
        <f t="shared" si="1074"/>
        <v>0</v>
      </c>
      <c r="AQ688" s="18">
        <f t="shared" si="1074"/>
        <v>0</v>
      </c>
      <c r="AR688" s="18">
        <f t="shared" si="1074"/>
        <v>0</v>
      </c>
      <c r="AS688" s="18">
        <f t="shared" si="1074"/>
        <v>0</v>
      </c>
      <c r="AT688" s="18">
        <f t="shared" si="1074"/>
        <v>0</v>
      </c>
      <c r="AU688" s="18">
        <f t="shared" si="1074"/>
        <v>0</v>
      </c>
      <c r="AV688" s="18">
        <f t="shared" si="1074"/>
        <v>0</v>
      </c>
      <c r="AW688" s="18">
        <f t="shared" si="1074"/>
        <v>0</v>
      </c>
      <c r="AX688" s="18">
        <f t="shared" si="1074"/>
        <v>0</v>
      </c>
    </row>
    <row r="689" spans="1:50" ht="13.5" thickTop="1" x14ac:dyDescent="0.2"/>
    <row r="690" spans="1:50" ht="13.5" thickBot="1" x14ac:dyDescent="0.25">
      <c r="A690" s="25"/>
      <c r="B690" s="28"/>
      <c r="C690" s="27" t="s">
        <v>193</v>
      </c>
      <c r="D690" s="27"/>
    </row>
    <row r="691" spans="1:50" ht="13.5" thickTop="1" x14ac:dyDescent="0.2">
      <c r="A691" s="8">
        <v>11450</v>
      </c>
      <c r="B691" s="89" t="str">
        <f t="shared" ref="B691:B693" si="1075">VLOOKUP($A691,$A$5:$K$132,2,FALSE)</f>
        <v>Camden</v>
      </c>
      <c r="C691" s="9" t="str">
        <f t="shared" ref="C691:C693" si="1076">VLOOKUP($A691,$A$5:$K$133,3,FALSE)</f>
        <v>MSWA</v>
      </c>
      <c r="D691" s="51" t="str">
        <f t="shared" ref="D691:D693" si="1077">VLOOKUP($A691,$A$5:$K$133,4,FALSE)</f>
        <v>S</v>
      </c>
      <c r="E691" s="10">
        <f t="shared" ref="E691:E693" si="1078">VLOOKUP($A691,$A$5:$AX$132,5,FALSE)</f>
        <v>0</v>
      </c>
      <c r="F691" s="10">
        <f t="shared" ref="F691:F693" si="1079">VLOOKUP($A691,$A$5:$AX$132,6,FALSE)</f>
        <v>107806</v>
      </c>
      <c r="G691" s="10">
        <f t="shared" ref="G691:G693" si="1080">VLOOKUP($A691,$A$5:$AX$132,7,FALSE)</f>
        <v>41645</v>
      </c>
      <c r="H691" s="10">
        <f t="shared" ref="H691:H693" si="1081">VLOOKUP($A691,$A$5:$AX$132,8,FALSE)</f>
        <v>2.5886901188618081</v>
      </c>
      <c r="I691" s="10">
        <f t="shared" ref="I691:I693" si="1082">VLOOKUP($A691,$A$5:$AX$132,9,FALSE)</f>
        <v>201</v>
      </c>
      <c r="J691" s="10">
        <f t="shared" ref="J691:J693" si="1083">VLOOKUP($A691,$A$5:$AX$132,10,FALSE)</f>
        <v>536.29999999999995</v>
      </c>
      <c r="K691" s="10">
        <f t="shared" ref="K691:K693" si="1084">VLOOKUP($A691,$A$5:$AX$132,11,FALSE)</f>
        <v>373</v>
      </c>
      <c r="L691" s="10" t="str">
        <f t="shared" ref="L691:L693" si="1085">VLOOKUP($A691,$A$4:$AX$132,12,FALSE)</f>
        <v>Y</v>
      </c>
      <c r="M691" s="10">
        <f t="shared" ref="M691:M693" si="1086">VLOOKUP($A691,$A$4:$AX$132,13,FALSE)</f>
        <v>37853</v>
      </c>
      <c r="N691" s="10">
        <f t="shared" ref="N691:N693" si="1087">VLOOKUP($A691,$A$4:$AX$132,14,FALSE)</f>
        <v>35715</v>
      </c>
      <c r="O691" s="10">
        <f t="shared" ref="O691:O693" si="1088">VLOOKUP($A691,$A$4:$AX$132,15,FALSE)</f>
        <v>35715</v>
      </c>
      <c r="P691" s="10">
        <f t="shared" ref="P691:P693" si="1089">VLOOKUP($A691,$A$4:$AX$132,16,FALSE)</f>
        <v>0</v>
      </c>
      <c r="Q691" s="10">
        <f t="shared" ref="Q691:Q693" si="1090">VLOOKUP($A691,$A$4:$AX$132,17,FALSE)</f>
        <v>41645</v>
      </c>
      <c r="R691" s="10" t="str">
        <f t="shared" ref="R691:R693" si="1091">VLOOKUP($A691,$A$4:$AX$132,18,FALSE)</f>
        <v>Yes</v>
      </c>
      <c r="S691" s="10" t="str">
        <f t="shared" ref="S691:S693" si="1092">VLOOKUP($A691,$A$4:$AX$132,19,FALSE)</f>
        <v>Camden Council Administration Building - 70 Central Ave ORAN PARK</v>
      </c>
      <c r="T691" s="10" t="str">
        <f t="shared" ref="T691:T693" si="1093">VLOOKUP($A691,$A$4:$AX$132,20,FALSE)</f>
        <v>Camden Library - 40 John St CAMDEN 2570</v>
      </c>
      <c r="U691" s="10" t="str">
        <f t="shared" ref="U691:U693" si="1094">VLOOKUP($A691,$A$4:$AX$132,21,FALSE)</f>
        <v>Narellan Library - Cnr Queen &amp; Elyard Sts NARELLAN 2567</v>
      </c>
      <c r="V691" s="10" t="str">
        <f t="shared" ref="V691:V693" si="1095">VLOOKUP($A691,$A$4:$AX$132,22,FALSE)</f>
        <v xml:space="preserve">Macarthur Centre for Sustainable Living - 1 Mount Annan Dr MOUNT ANNAN 2567 </v>
      </c>
      <c r="W691" s="10" t="str">
        <f t="shared" ref="W691:W693" si="1096">VLOOKUP($A691,$A$4:$AX$132,23,FALSE)</f>
        <v>13 collection sites - sharps, syringe etc</v>
      </c>
      <c r="X691" s="10" t="str">
        <f t="shared" ref="X691:X693" si="1097">VLOOKUP($A691,$A$4:$AX$132,24,FALSE)</f>
        <v>Camden Council Administration Building - 70 Central Ave ORAN PARK</v>
      </c>
      <c r="Y691" s="10" t="str">
        <f t="shared" ref="Y691:Y693" si="1098">VLOOKUP($A691,$A$4:$AX$132,25,FALSE)</f>
        <v>Camden Council Administration Building - 70 Central Ave ORAN PARK</v>
      </c>
      <c r="Z691" s="10">
        <f t="shared" ref="Z691:Z693" si="1099">VLOOKUP($A691,$A$4:$AX$132,26,FALSE)</f>
        <v>0</v>
      </c>
      <c r="AA691" s="10">
        <f t="shared" ref="AA691:AA693" si="1100">VLOOKUP($A691,$A$4:$AX$132,27,FALSE)</f>
        <v>0</v>
      </c>
      <c r="AB691" s="10">
        <f t="shared" ref="AB691:AB693" si="1101">VLOOKUP($A691,$A$4:$AX$132,28,FALSE)</f>
        <v>0</v>
      </c>
      <c r="AC691" s="10">
        <f t="shared" ref="AC691:AC693" si="1102">VLOOKUP($A691,$A$4:$AX$132,29,FALSE)</f>
        <v>0</v>
      </c>
      <c r="AD691" s="10">
        <f t="shared" ref="AD691:AD693" si="1103">VLOOKUP($A691,$A$4:$AX$132,30,FALSE)</f>
        <v>0</v>
      </c>
      <c r="AE691" s="10">
        <f t="shared" ref="AE691:AE693" si="1104">VLOOKUP($A691,$A$4:$AX$132,31,FALSE)</f>
        <v>0</v>
      </c>
      <c r="AF691" s="10">
        <f t="shared" ref="AF691:AF693" si="1105">VLOOKUP($A691,$A$4:$AX$132,32,FALSE)</f>
        <v>0</v>
      </c>
      <c r="AG691" s="10">
        <f t="shared" ref="AG691:AG693" si="1106">VLOOKUP($A691,$A$4:$AX$132,33,FALSE)</f>
        <v>0</v>
      </c>
      <c r="AH691" s="10">
        <f t="shared" ref="AH691:AH693" si="1107">VLOOKUP($A691,$A$4:$AX$132,34,FALSE)</f>
        <v>0</v>
      </c>
      <c r="AI691" s="10">
        <f t="shared" ref="AI691:AI693" si="1108">VLOOKUP($A691,$A$4:$AX$132,35,FALSE)</f>
        <v>0</v>
      </c>
      <c r="AJ691" s="10">
        <f t="shared" ref="AJ691:AJ693" si="1109">VLOOKUP($A691,$A$4:$AX$132,36,FALSE)</f>
        <v>0</v>
      </c>
      <c r="AK691" s="10">
        <f t="shared" ref="AK691:AK693" si="1110">VLOOKUP($A691,$A$4:$AX$132,37,FALSE)</f>
        <v>0</v>
      </c>
      <c r="AL691" s="10">
        <f t="shared" ref="AL691:AL693" si="1111">VLOOKUP($A691,$A$4:$AX$132,38,FALSE)</f>
        <v>0</v>
      </c>
      <c r="AM691" s="10">
        <f t="shared" ref="AM691:AM693" si="1112">VLOOKUP($A691,$A$4:$AX$132,39,FALSE)</f>
        <v>0</v>
      </c>
      <c r="AN691" s="46">
        <f t="shared" ref="AN691:AN693" si="1113">VLOOKUP($A691,$A$4:$AX$132,40,FALSE)</f>
        <v>0</v>
      </c>
      <c r="AO691" s="10">
        <f t="shared" ref="AO691:AO693" si="1114">VLOOKUP($A691,$A$4:$AX$132,41,FALSE)</f>
        <v>0</v>
      </c>
      <c r="AP691" s="10">
        <f t="shared" ref="AP691:AP693" si="1115">VLOOKUP($A691,$A$4:$AX$132,42,FALSE)</f>
        <v>0</v>
      </c>
      <c r="AQ691" s="10">
        <f t="shared" ref="AQ691:AQ693" si="1116">VLOOKUP($A691,$A$4:$AX$132,43,FALSE)</f>
        <v>0</v>
      </c>
      <c r="AR691" s="10">
        <f t="shared" ref="AR691:AR693" si="1117">VLOOKUP($A691,$A$4:$AX$132,44,FALSE)</f>
        <v>0</v>
      </c>
      <c r="AS691" s="10">
        <f t="shared" ref="AS691:AS693" si="1118">VLOOKUP($A691,$A$4:$AX$132,45,FALSE)</f>
        <v>0</v>
      </c>
      <c r="AT691" s="10">
        <f t="shared" ref="AT691:AT693" si="1119">VLOOKUP($A691,$A$4:$AX$132,46,FALSE)</f>
        <v>0</v>
      </c>
      <c r="AU691" s="10">
        <f t="shared" ref="AU691:AU693" si="1120">VLOOKUP($A691,$A$4:$AX$132,47,FALSE)</f>
        <v>0</v>
      </c>
      <c r="AV691" s="10">
        <f t="shared" ref="AV691:AV693" si="1121">VLOOKUP($A691,$A$4:$AX$132,48,FALSE)</f>
        <v>0</v>
      </c>
      <c r="AW691" s="10">
        <f t="shared" ref="AW691:AW693" si="1122">VLOOKUP($A691,$A$4:$AX$132,49,FALSE)</f>
        <v>0</v>
      </c>
      <c r="AX691" s="10">
        <f t="shared" ref="AX691:AX693" si="1123">VLOOKUP($A691,$A$4:$AX$132,50,FALSE)</f>
        <v>0</v>
      </c>
    </row>
    <row r="692" spans="1:50" x14ac:dyDescent="0.2">
      <c r="A692" s="8">
        <v>11500</v>
      </c>
      <c r="B692" s="89" t="str">
        <f t="shared" si="1075"/>
        <v>Campbelltown</v>
      </c>
      <c r="C692" s="9" t="str">
        <f t="shared" si="1076"/>
        <v>MSWA</v>
      </c>
      <c r="D692" s="51" t="str">
        <f t="shared" si="1077"/>
        <v>S</v>
      </c>
      <c r="E692" s="10">
        <f t="shared" si="1078"/>
        <v>0</v>
      </c>
      <c r="F692" s="10">
        <f t="shared" si="1079"/>
        <v>174078</v>
      </c>
      <c r="G692" s="10">
        <f t="shared" si="1080"/>
        <v>63675</v>
      </c>
      <c r="H692" s="10">
        <f t="shared" si="1081"/>
        <v>2.7338515901060072</v>
      </c>
      <c r="I692" s="10">
        <f t="shared" si="1082"/>
        <v>311.89999999999998</v>
      </c>
      <c r="J692" s="10">
        <f t="shared" si="1083"/>
        <v>558.1</v>
      </c>
      <c r="K692" s="10">
        <f t="shared" si="1084"/>
        <v>357.52</v>
      </c>
      <c r="L692" s="10" t="str">
        <f t="shared" si="1085"/>
        <v>Y</v>
      </c>
      <c r="M692" s="10">
        <f t="shared" si="1086"/>
        <v>59508</v>
      </c>
      <c r="N692" s="10">
        <f t="shared" si="1087"/>
        <v>59508</v>
      </c>
      <c r="O692" s="10">
        <f t="shared" si="1088"/>
        <v>57935</v>
      </c>
      <c r="P692" s="10">
        <f t="shared" si="1089"/>
        <v>0</v>
      </c>
      <c r="Q692" s="10">
        <f t="shared" si="1090"/>
        <v>63675</v>
      </c>
      <c r="R692" s="10" t="str">
        <f t="shared" si="1091"/>
        <v>Yes</v>
      </c>
      <c r="S692" s="10">
        <f t="shared" si="1092"/>
        <v>0</v>
      </c>
      <c r="T692" s="10">
        <f t="shared" si="1093"/>
        <v>0</v>
      </c>
      <c r="U692" s="10">
        <f t="shared" si="1094"/>
        <v>0</v>
      </c>
      <c r="V692" s="10">
        <f t="shared" si="1095"/>
        <v>0</v>
      </c>
      <c r="W692" s="10">
        <f t="shared" si="1096"/>
        <v>0</v>
      </c>
      <c r="X692" s="10">
        <f t="shared" si="1097"/>
        <v>0</v>
      </c>
      <c r="Y692" s="10">
        <f t="shared" si="1098"/>
        <v>0</v>
      </c>
      <c r="Z692" s="10">
        <f t="shared" si="1099"/>
        <v>0</v>
      </c>
      <c r="AA692" s="10">
        <f t="shared" si="1100"/>
        <v>0</v>
      </c>
      <c r="AB692" s="10">
        <f t="shared" si="1101"/>
        <v>0</v>
      </c>
      <c r="AC692" s="10">
        <f t="shared" si="1102"/>
        <v>0</v>
      </c>
      <c r="AD692" s="10">
        <f t="shared" si="1103"/>
        <v>0</v>
      </c>
      <c r="AE692" s="10">
        <f t="shared" si="1104"/>
        <v>0</v>
      </c>
      <c r="AF692" s="10">
        <f t="shared" si="1105"/>
        <v>0</v>
      </c>
      <c r="AG692" s="10">
        <f t="shared" si="1106"/>
        <v>0</v>
      </c>
      <c r="AH692" s="10">
        <f t="shared" si="1107"/>
        <v>0</v>
      </c>
      <c r="AI692" s="10">
        <f t="shared" si="1108"/>
        <v>0</v>
      </c>
      <c r="AJ692" s="10">
        <f t="shared" si="1109"/>
        <v>0</v>
      </c>
      <c r="AK692" s="10">
        <f t="shared" si="1110"/>
        <v>0</v>
      </c>
      <c r="AL692" s="10">
        <f t="shared" si="1111"/>
        <v>0</v>
      </c>
      <c r="AM692" s="10">
        <f t="shared" si="1112"/>
        <v>0</v>
      </c>
      <c r="AN692" s="46">
        <f t="shared" si="1113"/>
        <v>0</v>
      </c>
      <c r="AO692" s="10">
        <f t="shared" si="1114"/>
        <v>0</v>
      </c>
      <c r="AP692" s="10">
        <f t="shared" si="1115"/>
        <v>0</v>
      </c>
      <c r="AQ692" s="10">
        <f t="shared" si="1116"/>
        <v>0</v>
      </c>
      <c r="AR692" s="10">
        <f t="shared" si="1117"/>
        <v>0</v>
      </c>
      <c r="AS692" s="10">
        <f t="shared" si="1118"/>
        <v>0</v>
      </c>
      <c r="AT692" s="10">
        <f t="shared" si="1119"/>
        <v>0</v>
      </c>
      <c r="AU692" s="10">
        <f t="shared" si="1120"/>
        <v>0</v>
      </c>
      <c r="AV692" s="10">
        <f t="shared" si="1121"/>
        <v>0</v>
      </c>
      <c r="AW692" s="10">
        <f t="shared" si="1122"/>
        <v>0</v>
      </c>
      <c r="AX692" s="10">
        <f t="shared" si="1123"/>
        <v>0</v>
      </c>
    </row>
    <row r="693" spans="1:50" ht="13.5" thickBot="1" x14ac:dyDescent="0.25">
      <c r="A693" s="8">
        <v>18400</v>
      </c>
      <c r="B693" s="89" t="str">
        <f t="shared" si="1075"/>
        <v>Wollondilly</v>
      </c>
      <c r="C693" s="9" t="str">
        <f t="shared" si="1076"/>
        <v>MSWA</v>
      </c>
      <c r="D693" s="51" t="str">
        <f t="shared" si="1077"/>
        <v>R</v>
      </c>
      <c r="E693" s="10">
        <f t="shared" si="1078"/>
        <v>0</v>
      </c>
      <c r="F693" s="10">
        <f t="shared" si="1079"/>
        <v>54005</v>
      </c>
      <c r="G693" s="10">
        <f t="shared" si="1080"/>
        <v>20909</v>
      </c>
      <c r="H693" s="10">
        <f t="shared" si="1081"/>
        <v>2.5828590559089388</v>
      </c>
      <c r="I693" s="10">
        <f t="shared" si="1082"/>
        <v>2555.4</v>
      </c>
      <c r="J693" s="10">
        <f t="shared" si="1083"/>
        <v>21.1</v>
      </c>
      <c r="K693" s="10">
        <f t="shared" si="1084"/>
        <v>572.9</v>
      </c>
      <c r="L693" s="10" t="str">
        <f t="shared" si="1085"/>
        <v>Y</v>
      </c>
      <c r="M693" s="10">
        <f t="shared" si="1086"/>
        <v>18960.010000000002</v>
      </c>
      <c r="N693" s="10">
        <f t="shared" si="1087"/>
        <v>14307</v>
      </c>
      <c r="O693" s="10">
        <f t="shared" si="1088"/>
        <v>11165</v>
      </c>
      <c r="P693" s="10">
        <f t="shared" si="1089"/>
        <v>0</v>
      </c>
      <c r="Q693" s="10">
        <f t="shared" si="1090"/>
        <v>20909</v>
      </c>
      <c r="R693" s="10" t="str">
        <f t="shared" si="1091"/>
        <v>Yes</v>
      </c>
      <c r="S693" s="10" t="str">
        <f t="shared" si="1092"/>
        <v>Bargo Waste Management Centre, Anthony Road Bargo</v>
      </c>
      <c r="T693" s="10">
        <f t="shared" si="1093"/>
        <v>0</v>
      </c>
      <c r="U693" s="10">
        <f t="shared" si="1094"/>
        <v>0</v>
      </c>
      <c r="V693" s="10">
        <f t="shared" si="1095"/>
        <v>0</v>
      </c>
      <c r="W693" s="10">
        <f t="shared" si="1096"/>
        <v>0</v>
      </c>
      <c r="X693" s="10">
        <f t="shared" si="1097"/>
        <v>0</v>
      </c>
      <c r="Y693" s="10">
        <f t="shared" si="1098"/>
        <v>0</v>
      </c>
      <c r="Z693" s="10">
        <f t="shared" si="1099"/>
        <v>0</v>
      </c>
      <c r="AA693" s="10">
        <f t="shared" si="1100"/>
        <v>0</v>
      </c>
      <c r="AB693" s="10">
        <f t="shared" si="1101"/>
        <v>0</v>
      </c>
      <c r="AC693" s="10">
        <f t="shared" si="1102"/>
        <v>0</v>
      </c>
      <c r="AD693" s="10">
        <f t="shared" si="1103"/>
        <v>0</v>
      </c>
      <c r="AE693" s="10">
        <f t="shared" si="1104"/>
        <v>0</v>
      </c>
      <c r="AF693" s="10">
        <f t="shared" si="1105"/>
        <v>0</v>
      </c>
      <c r="AG693" s="10">
        <f t="shared" si="1106"/>
        <v>0</v>
      </c>
      <c r="AH693" s="10">
        <f t="shared" si="1107"/>
        <v>0</v>
      </c>
      <c r="AI693" s="10">
        <f t="shared" si="1108"/>
        <v>0</v>
      </c>
      <c r="AJ693" s="10">
        <f t="shared" si="1109"/>
        <v>0</v>
      </c>
      <c r="AK693" s="10">
        <f t="shared" si="1110"/>
        <v>0</v>
      </c>
      <c r="AL693" s="10">
        <f t="shared" si="1111"/>
        <v>0</v>
      </c>
      <c r="AM693" s="10">
        <f t="shared" si="1112"/>
        <v>0</v>
      </c>
      <c r="AN693" s="46">
        <f t="shared" si="1113"/>
        <v>0</v>
      </c>
      <c r="AO693" s="10">
        <f t="shared" si="1114"/>
        <v>0</v>
      </c>
      <c r="AP693" s="10">
        <f t="shared" si="1115"/>
        <v>0</v>
      </c>
      <c r="AQ693" s="10">
        <f t="shared" si="1116"/>
        <v>0</v>
      </c>
      <c r="AR693" s="10">
        <f t="shared" si="1117"/>
        <v>0</v>
      </c>
      <c r="AS693" s="10">
        <f t="shared" si="1118"/>
        <v>0</v>
      </c>
      <c r="AT693" s="10">
        <f t="shared" si="1119"/>
        <v>0</v>
      </c>
      <c r="AU693" s="10">
        <f t="shared" si="1120"/>
        <v>0</v>
      </c>
      <c r="AV693" s="10">
        <f t="shared" si="1121"/>
        <v>0</v>
      </c>
      <c r="AW693" s="10">
        <f t="shared" si="1122"/>
        <v>0</v>
      </c>
      <c r="AX693" s="10">
        <f t="shared" si="1123"/>
        <v>0</v>
      </c>
    </row>
    <row r="694" spans="1:50" ht="13.5" thickTop="1" x14ac:dyDescent="0.2">
      <c r="A694" s="11"/>
      <c r="B694" s="11"/>
      <c r="C694" s="11" t="s">
        <v>30</v>
      </c>
      <c r="D694" s="11"/>
      <c r="E694" s="12"/>
      <c r="F694" s="13">
        <f>COUNTIF(F691:F693,"&gt;0")</f>
        <v>3</v>
      </c>
      <c r="G694" s="13">
        <f t="shared" ref="G694:AX694" si="1124">COUNTIF(G691:G693,"&gt;0")</f>
        <v>3</v>
      </c>
      <c r="H694" s="13">
        <f t="shared" si="1124"/>
        <v>3</v>
      </c>
      <c r="I694" s="13">
        <f t="shared" si="1124"/>
        <v>3</v>
      </c>
      <c r="J694" s="13">
        <f t="shared" si="1124"/>
        <v>3</v>
      </c>
      <c r="K694" s="13">
        <f t="shared" si="1124"/>
        <v>3</v>
      </c>
      <c r="L694" s="13">
        <f t="shared" si="1124"/>
        <v>0</v>
      </c>
      <c r="M694" s="13">
        <f t="shared" si="1124"/>
        <v>3</v>
      </c>
      <c r="N694" s="13">
        <f t="shared" si="1124"/>
        <v>3</v>
      </c>
      <c r="O694" s="13">
        <f t="shared" si="1124"/>
        <v>3</v>
      </c>
      <c r="P694" s="13">
        <f t="shared" si="1124"/>
        <v>0</v>
      </c>
      <c r="Q694" s="13">
        <f t="shared" si="1124"/>
        <v>3</v>
      </c>
      <c r="R694" s="13">
        <f t="shared" si="1124"/>
        <v>0</v>
      </c>
      <c r="S694" s="13">
        <f t="shared" si="1124"/>
        <v>0</v>
      </c>
      <c r="T694" s="13">
        <f t="shared" si="1124"/>
        <v>0</v>
      </c>
      <c r="U694" s="13">
        <f t="shared" si="1124"/>
        <v>0</v>
      </c>
      <c r="V694" s="13">
        <f t="shared" si="1124"/>
        <v>0</v>
      </c>
      <c r="W694" s="13">
        <f t="shared" si="1124"/>
        <v>0</v>
      </c>
      <c r="X694" s="13">
        <f t="shared" si="1124"/>
        <v>0</v>
      </c>
      <c r="Y694" s="13">
        <f t="shared" si="1124"/>
        <v>0</v>
      </c>
      <c r="Z694" s="13">
        <f t="shared" si="1124"/>
        <v>0</v>
      </c>
      <c r="AA694" s="13">
        <f t="shared" si="1124"/>
        <v>0</v>
      </c>
      <c r="AB694" s="13">
        <f t="shared" si="1124"/>
        <v>0</v>
      </c>
      <c r="AC694" s="13">
        <f t="shared" si="1124"/>
        <v>0</v>
      </c>
      <c r="AD694" s="13">
        <f t="shared" si="1124"/>
        <v>0</v>
      </c>
      <c r="AE694" s="13">
        <f t="shared" si="1124"/>
        <v>0</v>
      </c>
      <c r="AF694" s="13">
        <f t="shared" si="1124"/>
        <v>0</v>
      </c>
      <c r="AG694" s="13">
        <f t="shared" si="1124"/>
        <v>0</v>
      </c>
      <c r="AH694" s="13">
        <f t="shared" si="1124"/>
        <v>0</v>
      </c>
      <c r="AI694" s="13">
        <f t="shared" si="1124"/>
        <v>0</v>
      </c>
      <c r="AJ694" s="13">
        <f t="shared" si="1124"/>
        <v>0</v>
      </c>
      <c r="AK694" s="13">
        <f t="shared" si="1124"/>
        <v>0</v>
      </c>
      <c r="AL694" s="13">
        <f t="shared" si="1124"/>
        <v>0</v>
      </c>
      <c r="AM694" s="44">
        <f t="shared" si="1124"/>
        <v>0</v>
      </c>
      <c r="AN694" s="13">
        <f t="shared" si="1124"/>
        <v>0</v>
      </c>
      <c r="AO694" s="13">
        <f t="shared" si="1124"/>
        <v>0</v>
      </c>
      <c r="AP694" s="13">
        <f t="shared" si="1124"/>
        <v>0</v>
      </c>
      <c r="AQ694" s="13">
        <f t="shared" si="1124"/>
        <v>0</v>
      </c>
      <c r="AR694" s="13">
        <f t="shared" si="1124"/>
        <v>0</v>
      </c>
      <c r="AS694" s="13">
        <f t="shared" si="1124"/>
        <v>0</v>
      </c>
      <c r="AT694" s="13">
        <f t="shared" si="1124"/>
        <v>0</v>
      </c>
      <c r="AU694" s="13">
        <f t="shared" si="1124"/>
        <v>0</v>
      </c>
      <c r="AV694" s="13">
        <f t="shared" si="1124"/>
        <v>0</v>
      </c>
      <c r="AW694" s="13">
        <f t="shared" si="1124"/>
        <v>0</v>
      </c>
      <c r="AX694" s="13">
        <f t="shared" si="1124"/>
        <v>0</v>
      </c>
    </row>
    <row r="695" spans="1:50" x14ac:dyDescent="0.2">
      <c r="A695" s="8"/>
      <c r="B695" s="8"/>
      <c r="C695" s="8" t="s">
        <v>31</v>
      </c>
      <c r="D695" s="8"/>
      <c r="E695" s="80"/>
      <c r="F695" s="15">
        <f>SUM(F691:F693)</f>
        <v>335889</v>
      </c>
      <c r="G695" s="15">
        <f t="shared" ref="G695:AX695" si="1125">SUM(G691:G693)</f>
        <v>126229</v>
      </c>
      <c r="H695" s="110">
        <f>F695/G695</f>
        <v>2.6609495440825799</v>
      </c>
      <c r="I695" s="15">
        <f t="shared" si="1125"/>
        <v>3068.3</v>
      </c>
      <c r="J695" s="15">
        <f t="shared" si="1125"/>
        <v>1115.5</v>
      </c>
      <c r="K695" s="15">
        <f t="shared" si="1125"/>
        <v>1303.42</v>
      </c>
      <c r="L695" s="15">
        <f t="shared" si="1125"/>
        <v>0</v>
      </c>
      <c r="M695" s="15">
        <f t="shared" si="1125"/>
        <v>116321.01000000001</v>
      </c>
      <c r="N695" s="15">
        <f t="shared" si="1125"/>
        <v>109530</v>
      </c>
      <c r="O695" s="15">
        <f t="shared" si="1125"/>
        <v>104815</v>
      </c>
      <c r="P695" s="15">
        <f t="shared" si="1125"/>
        <v>0</v>
      </c>
      <c r="Q695" s="15">
        <f t="shared" si="1125"/>
        <v>126229</v>
      </c>
      <c r="R695" s="15">
        <f t="shared" si="1125"/>
        <v>0</v>
      </c>
      <c r="S695" s="15">
        <f t="shared" si="1125"/>
        <v>0</v>
      </c>
      <c r="T695" s="15">
        <f t="shared" si="1125"/>
        <v>0</v>
      </c>
      <c r="U695" s="15">
        <f t="shared" si="1125"/>
        <v>0</v>
      </c>
      <c r="V695" s="15">
        <f t="shared" si="1125"/>
        <v>0</v>
      </c>
      <c r="W695" s="15">
        <f t="shared" si="1125"/>
        <v>0</v>
      </c>
      <c r="X695" s="15">
        <f t="shared" si="1125"/>
        <v>0</v>
      </c>
      <c r="Y695" s="15">
        <f t="shared" si="1125"/>
        <v>0</v>
      </c>
      <c r="Z695" s="15">
        <f t="shared" si="1125"/>
        <v>0</v>
      </c>
      <c r="AA695" s="15">
        <f t="shared" si="1125"/>
        <v>0</v>
      </c>
      <c r="AB695" s="15">
        <f t="shared" si="1125"/>
        <v>0</v>
      </c>
      <c r="AC695" s="15">
        <f t="shared" si="1125"/>
        <v>0</v>
      </c>
      <c r="AD695" s="15">
        <f t="shared" si="1125"/>
        <v>0</v>
      </c>
      <c r="AE695" s="15">
        <f t="shared" si="1125"/>
        <v>0</v>
      </c>
      <c r="AF695" s="15">
        <f t="shared" si="1125"/>
        <v>0</v>
      </c>
      <c r="AG695" s="15">
        <f t="shared" si="1125"/>
        <v>0</v>
      </c>
      <c r="AH695" s="15">
        <f t="shared" si="1125"/>
        <v>0</v>
      </c>
      <c r="AI695" s="15">
        <f t="shared" si="1125"/>
        <v>0</v>
      </c>
      <c r="AJ695" s="15">
        <f t="shared" si="1125"/>
        <v>0</v>
      </c>
      <c r="AK695" s="15">
        <f t="shared" si="1125"/>
        <v>0</v>
      </c>
      <c r="AL695" s="15">
        <f t="shared" si="1125"/>
        <v>0</v>
      </c>
      <c r="AM695" s="45">
        <f t="shared" si="1125"/>
        <v>0</v>
      </c>
      <c r="AN695" s="15">
        <f t="shared" si="1125"/>
        <v>0</v>
      </c>
      <c r="AO695" s="15">
        <f t="shared" si="1125"/>
        <v>0</v>
      </c>
      <c r="AP695" s="15">
        <f t="shared" si="1125"/>
        <v>0</v>
      </c>
      <c r="AQ695" s="15">
        <f t="shared" si="1125"/>
        <v>0</v>
      </c>
      <c r="AR695" s="15">
        <f t="shared" si="1125"/>
        <v>0</v>
      </c>
      <c r="AS695" s="15">
        <f t="shared" si="1125"/>
        <v>0</v>
      </c>
      <c r="AT695" s="15">
        <f t="shared" si="1125"/>
        <v>0</v>
      </c>
      <c r="AU695" s="15">
        <f t="shared" si="1125"/>
        <v>0</v>
      </c>
      <c r="AV695" s="15">
        <f t="shared" si="1125"/>
        <v>0</v>
      </c>
      <c r="AW695" s="15">
        <f t="shared" si="1125"/>
        <v>0</v>
      </c>
      <c r="AX695" s="15">
        <f t="shared" si="1125"/>
        <v>0</v>
      </c>
    </row>
    <row r="696" spans="1:50" x14ac:dyDescent="0.2">
      <c r="A696" s="8"/>
      <c r="B696" s="8"/>
      <c r="C696" s="8" t="s">
        <v>32</v>
      </c>
      <c r="D696" s="8"/>
      <c r="E696" s="80"/>
      <c r="F696" s="10">
        <f>MIN(F691:F693)</f>
        <v>54005</v>
      </c>
      <c r="G696" s="10">
        <f t="shared" ref="G696:AX696" si="1126">MIN(G691:G693)</f>
        <v>20909</v>
      </c>
      <c r="H696" s="10">
        <f t="shared" si="1126"/>
        <v>2.5828590559089388</v>
      </c>
      <c r="I696" s="10">
        <f t="shared" si="1126"/>
        <v>201</v>
      </c>
      <c r="J696" s="10">
        <f t="shared" si="1126"/>
        <v>21.1</v>
      </c>
      <c r="K696" s="10">
        <f t="shared" si="1126"/>
        <v>357.52</v>
      </c>
      <c r="L696" s="10">
        <f t="shared" si="1126"/>
        <v>0</v>
      </c>
      <c r="M696" s="10">
        <f t="shared" si="1126"/>
        <v>18960.010000000002</v>
      </c>
      <c r="N696" s="10">
        <f t="shared" si="1126"/>
        <v>14307</v>
      </c>
      <c r="O696" s="10">
        <f t="shared" si="1126"/>
        <v>11165</v>
      </c>
      <c r="P696" s="10">
        <f t="shared" si="1126"/>
        <v>0</v>
      </c>
      <c r="Q696" s="10">
        <f t="shared" si="1126"/>
        <v>20909</v>
      </c>
      <c r="R696" s="10">
        <f t="shared" si="1126"/>
        <v>0</v>
      </c>
      <c r="S696" s="10">
        <f t="shared" si="1126"/>
        <v>0</v>
      </c>
      <c r="T696" s="10">
        <f t="shared" si="1126"/>
        <v>0</v>
      </c>
      <c r="U696" s="10">
        <f t="shared" si="1126"/>
        <v>0</v>
      </c>
      <c r="V696" s="10">
        <f t="shared" si="1126"/>
        <v>0</v>
      </c>
      <c r="W696" s="10">
        <f t="shared" si="1126"/>
        <v>0</v>
      </c>
      <c r="X696" s="10">
        <f t="shared" si="1126"/>
        <v>0</v>
      </c>
      <c r="Y696" s="10">
        <f t="shared" si="1126"/>
        <v>0</v>
      </c>
      <c r="Z696" s="10">
        <f t="shared" si="1126"/>
        <v>0</v>
      </c>
      <c r="AA696" s="10">
        <f t="shared" si="1126"/>
        <v>0</v>
      </c>
      <c r="AB696" s="10">
        <f t="shared" si="1126"/>
        <v>0</v>
      </c>
      <c r="AC696" s="10">
        <f t="shared" si="1126"/>
        <v>0</v>
      </c>
      <c r="AD696" s="10">
        <f t="shared" si="1126"/>
        <v>0</v>
      </c>
      <c r="AE696" s="10">
        <f t="shared" si="1126"/>
        <v>0</v>
      </c>
      <c r="AF696" s="10">
        <f t="shared" si="1126"/>
        <v>0</v>
      </c>
      <c r="AG696" s="10">
        <f t="shared" si="1126"/>
        <v>0</v>
      </c>
      <c r="AH696" s="10">
        <f t="shared" si="1126"/>
        <v>0</v>
      </c>
      <c r="AI696" s="10">
        <f t="shared" si="1126"/>
        <v>0</v>
      </c>
      <c r="AJ696" s="10">
        <f t="shared" si="1126"/>
        <v>0</v>
      </c>
      <c r="AK696" s="10">
        <f t="shared" si="1126"/>
        <v>0</v>
      </c>
      <c r="AL696" s="10">
        <f t="shared" si="1126"/>
        <v>0</v>
      </c>
      <c r="AM696" s="46">
        <f t="shared" si="1126"/>
        <v>0</v>
      </c>
      <c r="AN696" s="10">
        <f t="shared" si="1126"/>
        <v>0</v>
      </c>
      <c r="AO696" s="10">
        <f t="shared" si="1126"/>
        <v>0</v>
      </c>
      <c r="AP696" s="10">
        <f t="shared" si="1126"/>
        <v>0</v>
      </c>
      <c r="AQ696" s="10">
        <f t="shared" si="1126"/>
        <v>0</v>
      </c>
      <c r="AR696" s="10">
        <f t="shared" si="1126"/>
        <v>0</v>
      </c>
      <c r="AS696" s="10">
        <f t="shared" si="1126"/>
        <v>0</v>
      </c>
      <c r="AT696" s="10">
        <f t="shared" si="1126"/>
        <v>0</v>
      </c>
      <c r="AU696" s="10">
        <f t="shared" si="1126"/>
        <v>0</v>
      </c>
      <c r="AV696" s="10">
        <f t="shared" si="1126"/>
        <v>0</v>
      </c>
      <c r="AW696" s="10">
        <f t="shared" si="1126"/>
        <v>0</v>
      </c>
      <c r="AX696" s="10">
        <f t="shared" si="1126"/>
        <v>0</v>
      </c>
    </row>
    <row r="697" spans="1:50" x14ac:dyDescent="0.2">
      <c r="A697" s="8"/>
      <c r="B697" s="8"/>
      <c r="C697" s="8" t="s">
        <v>33</v>
      </c>
      <c r="D697" s="8"/>
      <c r="E697" s="80"/>
      <c r="F697" s="10">
        <f>MAX(F691:F693)</f>
        <v>174078</v>
      </c>
      <c r="G697" s="10">
        <f t="shared" ref="G697:AX697" si="1127">MAX(G691:G693)</f>
        <v>63675</v>
      </c>
      <c r="H697" s="10">
        <f t="shared" si="1127"/>
        <v>2.7338515901060072</v>
      </c>
      <c r="I697" s="10">
        <f t="shared" si="1127"/>
        <v>2555.4</v>
      </c>
      <c r="J697" s="10">
        <f t="shared" si="1127"/>
        <v>558.1</v>
      </c>
      <c r="K697" s="10">
        <f t="shared" si="1127"/>
        <v>572.9</v>
      </c>
      <c r="L697" s="10">
        <f t="shared" si="1127"/>
        <v>0</v>
      </c>
      <c r="M697" s="10">
        <f t="shared" si="1127"/>
        <v>59508</v>
      </c>
      <c r="N697" s="10">
        <f t="shared" si="1127"/>
        <v>59508</v>
      </c>
      <c r="O697" s="10">
        <f t="shared" si="1127"/>
        <v>57935</v>
      </c>
      <c r="P697" s="10">
        <f t="shared" si="1127"/>
        <v>0</v>
      </c>
      <c r="Q697" s="10">
        <f t="shared" si="1127"/>
        <v>63675</v>
      </c>
      <c r="R697" s="10">
        <f t="shared" si="1127"/>
        <v>0</v>
      </c>
      <c r="S697" s="10">
        <f t="shared" si="1127"/>
        <v>0</v>
      </c>
      <c r="T697" s="10">
        <f t="shared" si="1127"/>
        <v>0</v>
      </c>
      <c r="U697" s="10">
        <f t="shared" si="1127"/>
        <v>0</v>
      </c>
      <c r="V697" s="10">
        <f t="shared" si="1127"/>
        <v>0</v>
      </c>
      <c r="W697" s="10">
        <f t="shared" si="1127"/>
        <v>0</v>
      </c>
      <c r="X697" s="10">
        <f t="shared" si="1127"/>
        <v>0</v>
      </c>
      <c r="Y697" s="10">
        <f t="shared" si="1127"/>
        <v>0</v>
      </c>
      <c r="Z697" s="10">
        <f t="shared" si="1127"/>
        <v>0</v>
      </c>
      <c r="AA697" s="10">
        <f t="shared" si="1127"/>
        <v>0</v>
      </c>
      <c r="AB697" s="10">
        <f t="shared" si="1127"/>
        <v>0</v>
      </c>
      <c r="AC697" s="10">
        <f t="shared" si="1127"/>
        <v>0</v>
      </c>
      <c r="AD697" s="10">
        <f t="shared" si="1127"/>
        <v>0</v>
      </c>
      <c r="AE697" s="10">
        <f t="shared" si="1127"/>
        <v>0</v>
      </c>
      <c r="AF697" s="10">
        <f t="shared" si="1127"/>
        <v>0</v>
      </c>
      <c r="AG697" s="10">
        <f t="shared" si="1127"/>
        <v>0</v>
      </c>
      <c r="AH697" s="10">
        <f t="shared" si="1127"/>
        <v>0</v>
      </c>
      <c r="AI697" s="10">
        <f t="shared" si="1127"/>
        <v>0</v>
      </c>
      <c r="AJ697" s="10">
        <f t="shared" si="1127"/>
        <v>0</v>
      </c>
      <c r="AK697" s="10">
        <f t="shared" si="1127"/>
        <v>0</v>
      </c>
      <c r="AL697" s="10">
        <f t="shared" si="1127"/>
        <v>0</v>
      </c>
      <c r="AM697" s="46">
        <f t="shared" si="1127"/>
        <v>0</v>
      </c>
      <c r="AN697" s="10">
        <f t="shared" si="1127"/>
        <v>0</v>
      </c>
      <c r="AO697" s="10">
        <f t="shared" si="1127"/>
        <v>0</v>
      </c>
      <c r="AP697" s="10">
        <f t="shared" si="1127"/>
        <v>0</v>
      </c>
      <c r="AQ697" s="10">
        <f t="shared" si="1127"/>
        <v>0</v>
      </c>
      <c r="AR697" s="10">
        <f t="shared" si="1127"/>
        <v>0</v>
      </c>
      <c r="AS697" s="10">
        <f t="shared" si="1127"/>
        <v>0</v>
      </c>
      <c r="AT697" s="10">
        <f t="shared" si="1127"/>
        <v>0</v>
      </c>
      <c r="AU697" s="10">
        <f t="shared" si="1127"/>
        <v>0</v>
      </c>
      <c r="AV697" s="10">
        <f t="shared" si="1127"/>
        <v>0</v>
      </c>
      <c r="AW697" s="10">
        <f t="shared" si="1127"/>
        <v>0</v>
      </c>
      <c r="AX697" s="10">
        <f t="shared" si="1127"/>
        <v>0</v>
      </c>
    </row>
    <row r="698" spans="1:50" x14ac:dyDescent="0.2">
      <c r="A698" s="8"/>
      <c r="B698" s="8"/>
      <c r="C698" s="8" t="s">
        <v>34</v>
      </c>
      <c r="D698" s="8"/>
      <c r="E698" s="80"/>
      <c r="F698" s="10">
        <f>AVERAGE(F691:F693)</f>
        <v>111963</v>
      </c>
      <c r="G698" s="10">
        <f t="shared" ref="G698:AX698" si="1128">AVERAGE(G691:G693)</f>
        <v>42076.333333333336</v>
      </c>
      <c r="H698" s="10">
        <f t="shared" si="1128"/>
        <v>2.6351335882922515</v>
      </c>
      <c r="I698" s="10">
        <f t="shared" si="1128"/>
        <v>1022.7666666666668</v>
      </c>
      <c r="J698" s="10">
        <f t="shared" si="1128"/>
        <v>371.83333333333331</v>
      </c>
      <c r="K698" s="10">
        <f t="shared" si="1128"/>
        <v>434.47333333333336</v>
      </c>
      <c r="L698" s="10" t="e">
        <f t="shared" si="1128"/>
        <v>#DIV/0!</v>
      </c>
      <c r="M698" s="10">
        <f t="shared" si="1128"/>
        <v>38773.670000000006</v>
      </c>
      <c r="N698" s="10">
        <f t="shared" si="1128"/>
        <v>36510</v>
      </c>
      <c r="O698" s="10">
        <f t="shared" si="1128"/>
        <v>34938.333333333336</v>
      </c>
      <c r="P698" s="10">
        <f t="shared" si="1128"/>
        <v>0</v>
      </c>
      <c r="Q698" s="10">
        <f t="shared" si="1128"/>
        <v>42076.333333333336</v>
      </c>
      <c r="R698" s="10" t="e">
        <f t="shared" si="1128"/>
        <v>#DIV/0!</v>
      </c>
      <c r="S698" s="10">
        <f t="shared" si="1128"/>
        <v>0</v>
      </c>
      <c r="T698" s="10">
        <f t="shared" si="1128"/>
        <v>0</v>
      </c>
      <c r="U698" s="10">
        <f t="shared" si="1128"/>
        <v>0</v>
      </c>
      <c r="V698" s="10">
        <f t="shared" si="1128"/>
        <v>0</v>
      </c>
      <c r="W698" s="10">
        <f t="shared" si="1128"/>
        <v>0</v>
      </c>
      <c r="X698" s="10">
        <f t="shared" si="1128"/>
        <v>0</v>
      </c>
      <c r="Y698" s="10">
        <f t="shared" si="1128"/>
        <v>0</v>
      </c>
      <c r="Z698" s="10">
        <f t="shared" si="1128"/>
        <v>0</v>
      </c>
      <c r="AA698" s="10">
        <f t="shared" si="1128"/>
        <v>0</v>
      </c>
      <c r="AB698" s="10">
        <f t="shared" si="1128"/>
        <v>0</v>
      </c>
      <c r="AC698" s="10">
        <f t="shared" si="1128"/>
        <v>0</v>
      </c>
      <c r="AD698" s="10">
        <f t="shared" si="1128"/>
        <v>0</v>
      </c>
      <c r="AE698" s="10">
        <f t="shared" si="1128"/>
        <v>0</v>
      </c>
      <c r="AF698" s="10">
        <f t="shared" si="1128"/>
        <v>0</v>
      </c>
      <c r="AG698" s="10">
        <f t="shared" si="1128"/>
        <v>0</v>
      </c>
      <c r="AH698" s="10">
        <f t="shared" si="1128"/>
        <v>0</v>
      </c>
      <c r="AI698" s="10">
        <f t="shared" si="1128"/>
        <v>0</v>
      </c>
      <c r="AJ698" s="10">
        <f t="shared" si="1128"/>
        <v>0</v>
      </c>
      <c r="AK698" s="10">
        <f t="shared" si="1128"/>
        <v>0</v>
      </c>
      <c r="AL698" s="10">
        <f t="shared" si="1128"/>
        <v>0</v>
      </c>
      <c r="AM698" s="46">
        <f t="shared" si="1128"/>
        <v>0</v>
      </c>
      <c r="AN698" s="10">
        <f t="shared" si="1128"/>
        <v>0</v>
      </c>
      <c r="AO698" s="10">
        <f t="shared" si="1128"/>
        <v>0</v>
      </c>
      <c r="AP698" s="10">
        <f t="shared" si="1128"/>
        <v>0</v>
      </c>
      <c r="AQ698" s="10">
        <f t="shared" si="1128"/>
        <v>0</v>
      </c>
      <c r="AR698" s="10">
        <f t="shared" si="1128"/>
        <v>0</v>
      </c>
      <c r="AS698" s="10">
        <f t="shared" si="1128"/>
        <v>0</v>
      </c>
      <c r="AT698" s="10">
        <f t="shared" si="1128"/>
        <v>0</v>
      </c>
      <c r="AU698" s="10">
        <f t="shared" si="1128"/>
        <v>0</v>
      </c>
      <c r="AV698" s="10">
        <f t="shared" si="1128"/>
        <v>0</v>
      </c>
      <c r="AW698" s="10">
        <f t="shared" si="1128"/>
        <v>0</v>
      </c>
      <c r="AX698" s="10">
        <f t="shared" si="1128"/>
        <v>0</v>
      </c>
    </row>
    <row r="699" spans="1:50" ht="13.5" thickBot="1" x14ac:dyDescent="0.25">
      <c r="A699" s="16"/>
      <c r="B699" s="16"/>
      <c r="C699" s="16" t="s">
        <v>35</v>
      </c>
      <c r="D699" s="16"/>
      <c r="E699" s="80"/>
      <c r="F699" s="18">
        <f>MEDIAN(F691:F693)</f>
        <v>107806</v>
      </c>
      <c r="G699" s="18">
        <f t="shared" ref="G699:AX699" si="1129">MEDIAN(G691:G693)</f>
        <v>41645</v>
      </c>
      <c r="H699" s="18">
        <f t="shared" si="1129"/>
        <v>2.5886901188618081</v>
      </c>
      <c r="I699" s="18">
        <f t="shared" si="1129"/>
        <v>311.89999999999998</v>
      </c>
      <c r="J699" s="18">
        <f t="shared" si="1129"/>
        <v>536.29999999999995</v>
      </c>
      <c r="K699" s="18">
        <f t="shared" si="1129"/>
        <v>373</v>
      </c>
      <c r="L699" s="18" t="e">
        <f t="shared" si="1129"/>
        <v>#NUM!</v>
      </c>
      <c r="M699" s="18">
        <f t="shared" si="1129"/>
        <v>37853</v>
      </c>
      <c r="N699" s="18">
        <f t="shared" si="1129"/>
        <v>35715</v>
      </c>
      <c r="O699" s="18">
        <f t="shared" si="1129"/>
        <v>35715</v>
      </c>
      <c r="P699" s="18">
        <f t="shared" si="1129"/>
        <v>0</v>
      </c>
      <c r="Q699" s="18">
        <f t="shared" si="1129"/>
        <v>41645</v>
      </c>
      <c r="R699" s="18" t="e">
        <f t="shared" si="1129"/>
        <v>#NUM!</v>
      </c>
      <c r="S699" s="18">
        <f t="shared" si="1129"/>
        <v>0</v>
      </c>
      <c r="T699" s="18">
        <f t="shared" si="1129"/>
        <v>0</v>
      </c>
      <c r="U699" s="18">
        <f t="shared" si="1129"/>
        <v>0</v>
      </c>
      <c r="V699" s="18">
        <f t="shared" si="1129"/>
        <v>0</v>
      </c>
      <c r="W699" s="18">
        <f t="shared" si="1129"/>
        <v>0</v>
      </c>
      <c r="X699" s="18">
        <f t="shared" si="1129"/>
        <v>0</v>
      </c>
      <c r="Y699" s="18">
        <f t="shared" si="1129"/>
        <v>0</v>
      </c>
      <c r="Z699" s="18">
        <f t="shared" si="1129"/>
        <v>0</v>
      </c>
      <c r="AA699" s="18">
        <f t="shared" si="1129"/>
        <v>0</v>
      </c>
      <c r="AB699" s="18">
        <f t="shared" si="1129"/>
        <v>0</v>
      </c>
      <c r="AC699" s="18">
        <f t="shared" si="1129"/>
        <v>0</v>
      </c>
      <c r="AD699" s="18">
        <f t="shared" si="1129"/>
        <v>0</v>
      </c>
      <c r="AE699" s="18">
        <f t="shared" si="1129"/>
        <v>0</v>
      </c>
      <c r="AF699" s="18">
        <f t="shared" si="1129"/>
        <v>0</v>
      </c>
      <c r="AG699" s="18">
        <f t="shared" si="1129"/>
        <v>0</v>
      </c>
      <c r="AH699" s="18">
        <f t="shared" si="1129"/>
        <v>0</v>
      </c>
      <c r="AI699" s="18">
        <f t="shared" si="1129"/>
        <v>0</v>
      </c>
      <c r="AJ699" s="18">
        <f t="shared" si="1129"/>
        <v>0</v>
      </c>
      <c r="AK699" s="18">
        <f t="shared" si="1129"/>
        <v>0</v>
      </c>
      <c r="AL699" s="18">
        <f t="shared" si="1129"/>
        <v>0</v>
      </c>
      <c r="AM699" s="47">
        <f t="shared" si="1129"/>
        <v>0</v>
      </c>
      <c r="AN699" s="18">
        <f t="shared" si="1129"/>
        <v>0</v>
      </c>
      <c r="AO699" s="18">
        <f t="shared" si="1129"/>
        <v>0</v>
      </c>
      <c r="AP699" s="18">
        <f t="shared" si="1129"/>
        <v>0</v>
      </c>
      <c r="AQ699" s="18">
        <f t="shared" si="1129"/>
        <v>0</v>
      </c>
      <c r="AR699" s="18">
        <f t="shared" si="1129"/>
        <v>0</v>
      </c>
      <c r="AS699" s="18">
        <f t="shared" si="1129"/>
        <v>0</v>
      </c>
      <c r="AT699" s="18">
        <f t="shared" si="1129"/>
        <v>0</v>
      </c>
      <c r="AU699" s="18">
        <f t="shared" si="1129"/>
        <v>0</v>
      </c>
      <c r="AV699" s="18">
        <f t="shared" si="1129"/>
        <v>0</v>
      </c>
      <c r="AW699" s="18">
        <f t="shared" si="1129"/>
        <v>0</v>
      </c>
      <c r="AX699" s="18">
        <f t="shared" si="1129"/>
        <v>0</v>
      </c>
    </row>
    <row r="700" spans="1:50" ht="13.5" thickTop="1" x14ac:dyDescent="0.2">
      <c r="B700"/>
      <c r="C700" s="5"/>
      <c r="D700" s="5"/>
    </row>
    <row r="701" spans="1:50" ht="13.5" thickBot="1" x14ac:dyDescent="0.25">
      <c r="A701" s="25"/>
      <c r="B701" s="25"/>
      <c r="C701" s="27" t="s">
        <v>26</v>
      </c>
      <c r="D701" s="27"/>
    </row>
    <row r="702" spans="1:50" ht="13.5" thickTop="1" x14ac:dyDescent="0.2">
      <c r="A702" s="8">
        <v>14000</v>
      </c>
      <c r="B702" s="89" t="str">
        <f t="shared" ref="B702:B709" si="1130">VLOOKUP($A702,$A$5:$K$132,2,FALSE)</f>
        <v>Hornsby</v>
      </c>
      <c r="C702" s="9" t="str">
        <f t="shared" ref="C702:C709" si="1131">VLOOKUP($A702,$A$5:$K$133,3,FALSE)</f>
        <v>NSROC</v>
      </c>
      <c r="D702" s="51" t="str">
        <f t="shared" ref="D702:D709" si="1132">VLOOKUP($A702,$A$5:$K$133,4,FALSE)</f>
        <v>S</v>
      </c>
      <c r="E702" s="10">
        <f t="shared" ref="E702:E709" si="1133">VLOOKUP($A702,$A$5:$AX$132,5,FALSE)</f>
        <v>0</v>
      </c>
      <c r="F702" s="10">
        <f t="shared" ref="F702:F709" si="1134">VLOOKUP($A702,$A$5:$AX$132,6,FALSE)</f>
        <v>152419</v>
      </c>
      <c r="G702" s="10">
        <f t="shared" ref="G702:G709" si="1135">VLOOKUP($A702,$A$5:$AX$132,7,FALSE)</f>
        <v>52488</v>
      </c>
      <c r="H702" s="10">
        <f t="shared" ref="H702:H709" si="1136">VLOOKUP($A702,$A$5:$AX$132,8,FALSE)</f>
        <v>2.9038827922572779</v>
      </c>
      <c r="I702" s="10">
        <f t="shared" ref="I702:I709" si="1137">VLOOKUP($A702,$A$5:$AX$132,9,FALSE)</f>
        <v>455</v>
      </c>
      <c r="J702" s="10">
        <f t="shared" ref="J702:J709" si="1138">VLOOKUP($A702,$A$5:$AX$132,10,FALSE)</f>
        <v>335</v>
      </c>
      <c r="K702" s="10">
        <f t="shared" ref="K702:K709" si="1139">VLOOKUP($A702,$A$5:$AX$132,11,FALSE)</f>
        <v>536</v>
      </c>
      <c r="L702" s="10" t="str">
        <f t="shared" ref="L702:L709" si="1140">VLOOKUP($A702,$A$4:$AX$132,12,FALSE)</f>
        <v>Y</v>
      </c>
      <c r="M702" s="10">
        <f t="shared" ref="M702:M709" si="1141">VLOOKUP($A702,$A$4:$AX$132,13,FALSE)</f>
        <v>52488</v>
      </c>
      <c r="N702" s="10">
        <f t="shared" ref="N702:N709" si="1142">VLOOKUP($A702,$A$4:$AX$132,14,FALSE)</f>
        <v>52488</v>
      </c>
      <c r="O702" s="10">
        <f t="shared" ref="O702:O709" si="1143">VLOOKUP($A702,$A$4:$AX$132,15,FALSE)</f>
        <v>52488</v>
      </c>
      <c r="P702" s="10">
        <f t="shared" ref="P702:P709" si="1144">VLOOKUP($A702,$A$4:$AX$132,16,FALSE)</f>
        <v>0</v>
      </c>
      <c r="Q702" s="10">
        <f t="shared" ref="Q702:Q709" si="1145">VLOOKUP($A702,$A$4:$AX$132,17,FALSE)</f>
        <v>52488</v>
      </c>
      <c r="R702" s="10" t="str">
        <f t="shared" ref="R702:R709" si="1146">VLOOKUP($A702,$A$4:$AX$132,18,FALSE)</f>
        <v>Yes</v>
      </c>
      <c r="S702" s="10" t="str">
        <f t="shared" ref="S702:S709" si="1147">VLOOKUP($A702,$A$4:$AX$132,19,FALSE)</f>
        <v>CRC - 29 Sefton Road Thornleigh</v>
      </c>
      <c r="T702" s="10" t="str">
        <f t="shared" ref="T702:T709" si="1148">VLOOKUP($A702,$A$4:$AX$132,20,FALSE)</f>
        <v>Council depot - 5 Beaumont Road, Mt Kuring-gai</v>
      </c>
      <c r="U702" s="10">
        <f t="shared" ref="U702:U709" si="1149">VLOOKUP($A702,$A$4:$AX$132,21,FALSE)</f>
        <v>0</v>
      </c>
      <c r="V702" s="10">
        <f t="shared" ref="V702:V709" si="1150">VLOOKUP($A702,$A$4:$AX$132,22,FALSE)</f>
        <v>0</v>
      </c>
      <c r="W702" s="10">
        <f t="shared" ref="W702:W709" si="1151">VLOOKUP($A702,$A$4:$AX$132,23,FALSE)</f>
        <v>0</v>
      </c>
      <c r="X702" s="10">
        <f t="shared" ref="X702:X709" si="1152">VLOOKUP($A702,$A$4:$AX$132,24,FALSE)</f>
        <v>0</v>
      </c>
      <c r="Y702" s="10">
        <f t="shared" ref="Y702:Y709" si="1153">VLOOKUP($A702,$A$4:$AX$132,25,FALSE)</f>
        <v>0</v>
      </c>
      <c r="Z702" s="10">
        <f t="shared" ref="Z702:Z709" si="1154">VLOOKUP($A702,$A$4:$AX$132,26,FALSE)</f>
        <v>0</v>
      </c>
      <c r="AA702" s="10">
        <f t="shared" ref="AA702:AA709" si="1155">VLOOKUP($A702,$A$4:$AX$132,27,FALSE)</f>
        <v>0</v>
      </c>
      <c r="AB702" s="10">
        <f t="shared" ref="AB702:AB709" si="1156">VLOOKUP($A702,$A$4:$AX$132,28,FALSE)</f>
        <v>0</v>
      </c>
      <c r="AC702" s="10">
        <f t="shared" ref="AC702:AC709" si="1157">VLOOKUP($A702,$A$4:$AX$132,29,FALSE)</f>
        <v>0</v>
      </c>
      <c r="AD702" s="10">
        <f t="shared" ref="AD702:AD709" si="1158">VLOOKUP($A702,$A$4:$AX$132,30,FALSE)</f>
        <v>0</v>
      </c>
      <c r="AE702" s="10">
        <f t="shared" ref="AE702:AE709" si="1159">VLOOKUP($A702,$A$4:$AX$132,31,FALSE)</f>
        <v>0</v>
      </c>
      <c r="AF702" s="10">
        <f t="shared" ref="AF702:AF709" si="1160">VLOOKUP($A702,$A$4:$AX$132,32,FALSE)</f>
        <v>0</v>
      </c>
      <c r="AG702" s="10">
        <f t="shared" ref="AG702:AG709" si="1161">VLOOKUP($A702,$A$4:$AX$132,33,FALSE)</f>
        <v>0</v>
      </c>
      <c r="AH702" s="10">
        <f t="shared" ref="AH702:AH709" si="1162">VLOOKUP($A702,$A$4:$AX$132,34,FALSE)</f>
        <v>0</v>
      </c>
      <c r="AI702" s="10">
        <f t="shared" ref="AI702:AI709" si="1163">VLOOKUP($A702,$A$4:$AX$132,35,FALSE)</f>
        <v>0</v>
      </c>
      <c r="AJ702" s="10">
        <f t="shared" ref="AJ702:AJ709" si="1164">VLOOKUP($A702,$A$4:$AX$132,36,FALSE)</f>
        <v>0</v>
      </c>
      <c r="AK702" s="10">
        <f t="shared" ref="AK702:AK709" si="1165">VLOOKUP($A702,$A$4:$AX$132,37,FALSE)</f>
        <v>0</v>
      </c>
      <c r="AL702" s="10">
        <f t="shared" ref="AL702:AL709" si="1166">VLOOKUP($A702,$A$4:$AX$132,38,FALSE)</f>
        <v>0</v>
      </c>
      <c r="AM702" s="10">
        <f t="shared" ref="AM702:AM709" si="1167">VLOOKUP($A702,$A$4:$AX$132,39,FALSE)</f>
        <v>0</v>
      </c>
      <c r="AN702" s="46">
        <f t="shared" ref="AN702:AN709" si="1168">VLOOKUP($A702,$A$4:$AX$132,40,FALSE)</f>
        <v>0</v>
      </c>
      <c r="AO702" s="10">
        <f t="shared" ref="AO702:AO709" si="1169">VLOOKUP($A702,$A$4:$AX$132,41,FALSE)</f>
        <v>0</v>
      </c>
      <c r="AP702" s="10">
        <f t="shared" ref="AP702:AP709" si="1170">VLOOKUP($A702,$A$4:$AX$132,42,FALSE)</f>
        <v>0</v>
      </c>
      <c r="AQ702" s="10">
        <f t="shared" ref="AQ702:AQ709" si="1171">VLOOKUP($A702,$A$4:$AX$132,43,FALSE)</f>
        <v>0</v>
      </c>
      <c r="AR702" s="10">
        <f t="shared" ref="AR702:AR709" si="1172">VLOOKUP($A702,$A$4:$AX$132,44,FALSE)</f>
        <v>0</v>
      </c>
      <c r="AS702" s="10">
        <f t="shared" ref="AS702:AS709" si="1173">VLOOKUP($A702,$A$4:$AX$132,45,FALSE)</f>
        <v>0</v>
      </c>
      <c r="AT702" s="10">
        <f t="shared" ref="AT702:AT709" si="1174">VLOOKUP($A702,$A$4:$AX$132,46,FALSE)</f>
        <v>0</v>
      </c>
      <c r="AU702" s="10">
        <f t="shared" ref="AU702:AU709" si="1175">VLOOKUP($A702,$A$4:$AX$132,47,FALSE)</f>
        <v>0</v>
      </c>
      <c r="AV702" s="10">
        <f t="shared" ref="AV702:AV709" si="1176">VLOOKUP($A702,$A$4:$AX$132,48,FALSE)</f>
        <v>0</v>
      </c>
      <c r="AW702" s="10">
        <f t="shared" ref="AW702:AW709" si="1177">VLOOKUP($A702,$A$4:$AX$132,49,FALSE)</f>
        <v>0</v>
      </c>
      <c r="AX702" s="10">
        <f t="shared" ref="AX702:AX709" si="1178">VLOOKUP($A702,$A$4:$AX$132,50,FALSE)</f>
        <v>0</v>
      </c>
    </row>
    <row r="703" spans="1:50" x14ac:dyDescent="0.2">
      <c r="A703" s="8">
        <v>14100</v>
      </c>
      <c r="B703" s="89" t="str">
        <f t="shared" si="1130"/>
        <v>Hunters Hill</v>
      </c>
      <c r="C703" s="9" t="str">
        <f t="shared" si="1131"/>
        <v>NSROC</v>
      </c>
      <c r="D703" s="51" t="str">
        <f t="shared" si="1132"/>
        <v>S</v>
      </c>
      <c r="E703" s="10">
        <f t="shared" si="1133"/>
        <v>0</v>
      </c>
      <c r="F703" s="10">
        <f t="shared" si="1134"/>
        <v>14962</v>
      </c>
      <c r="G703" s="10">
        <f t="shared" si="1135"/>
        <v>5237</v>
      </c>
      <c r="H703" s="10">
        <f t="shared" si="1136"/>
        <v>2.8569791865571892</v>
      </c>
      <c r="I703" s="10">
        <f t="shared" si="1137"/>
        <v>5.7</v>
      </c>
      <c r="J703" s="10">
        <f t="shared" si="1138"/>
        <v>2617.1999999999998</v>
      </c>
      <c r="K703" s="10">
        <f t="shared" si="1139"/>
        <v>555</v>
      </c>
      <c r="L703" s="10" t="str">
        <f t="shared" si="1140"/>
        <v>Y</v>
      </c>
      <c r="M703" s="10">
        <f t="shared" si="1141"/>
        <v>4926</v>
      </c>
      <c r="N703" s="10">
        <f t="shared" si="1142"/>
        <v>4844</v>
      </c>
      <c r="O703" s="10">
        <f t="shared" si="1143"/>
        <v>4693</v>
      </c>
      <c r="P703" s="10">
        <f t="shared" si="1144"/>
        <v>0</v>
      </c>
      <c r="Q703" s="10">
        <f t="shared" si="1145"/>
        <v>5237</v>
      </c>
      <c r="R703" s="10" t="str">
        <f t="shared" si="1146"/>
        <v>No</v>
      </c>
      <c r="S703" s="10">
        <f t="shared" si="1147"/>
        <v>0</v>
      </c>
      <c r="T703" s="10">
        <f t="shared" si="1148"/>
        <v>0</v>
      </c>
      <c r="U703" s="10">
        <f t="shared" si="1149"/>
        <v>0</v>
      </c>
      <c r="V703" s="10">
        <f t="shared" si="1150"/>
        <v>0</v>
      </c>
      <c r="W703" s="10">
        <f t="shared" si="1151"/>
        <v>0</v>
      </c>
      <c r="X703" s="10">
        <f t="shared" si="1152"/>
        <v>0</v>
      </c>
      <c r="Y703" s="10">
        <f t="shared" si="1153"/>
        <v>0</v>
      </c>
      <c r="Z703" s="10">
        <f t="shared" si="1154"/>
        <v>0</v>
      </c>
      <c r="AA703" s="10">
        <f t="shared" si="1155"/>
        <v>0</v>
      </c>
      <c r="AB703" s="10">
        <f t="shared" si="1156"/>
        <v>0</v>
      </c>
      <c r="AC703" s="10">
        <f t="shared" si="1157"/>
        <v>0</v>
      </c>
      <c r="AD703" s="10">
        <f t="shared" si="1158"/>
        <v>0</v>
      </c>
      <c r="AE703" s="10">
        <f t="shared" si="1159"/>
        <v>0</v>
      </c>
      <c r="AF703" s="10">
        <f t="shared" si="1160"/>
        <v>0</v>
      </c>
      <c r="AG703" s="10">
        <f t="shared" si="1161"/>
        <v>0</v>
      </c>
      <c r="AH703" s="10">
        <f t="shared" si="1162"/>
        <v>0</v>
      </c>
      <c r="AI703" s="10">
        <f t="shared" si="1163"/>
        <v>0</v>
      </c>
      <c r="AJ703" s="10">
        <f t="shared" si="1164"/>
        <v>0</v>
      </c>
      <c r="AK703" s="10">
        <f t="shared" si="1165"/>
        <v>0</v>
      </c>
      <c r="AL703" s="10">
        <f t="shared" si="1166"/>
        <v>0</v>
      </c>
      <c r="AM703" s="10">
        <f t="shared" si="1167"/>
        <v>0</v>
      </c>
      <c r="AN703" s="46">
        <f t="shared" si="1168"/>
        <v>0</v>
      </c>
      <c r="AO703" s="10">
        <f t="shared" si="1169"/>
        <v>0</v>
      </c>
      <c r="AP703" s="10">
        <f t="shared" si="1170"/>
        <v>0</v>
      </c>
      <c r="AQ703" s="10">
        <f t="shared" si="1171"/>
        <v>0</v>
      </c>
      <c r="AR703" s="10">
        <f t="shared" si="1172"/>
        <v>0</v>
      </c>
      <c r="AS703" s="10">
        <f t="shared" si="1173"/>
        <v>0</v>
      </c>
      <c r="AT703" s="10">
        <f t="shared" si="1174"/>
        <v>0</v>
      </c>
      <c r="AU703" s="10">
        <f t="shared" si="1175"/>
        <v>0</v>
      </c>
      <c r="AV703" s="10">
        <f t="shared" si="1176"/>
        <v>0</v>
      </c>
      <c r="AW703" s="10">
        <f t="shared" si="1177"/>
        <v>0</v>
      </c>
      <c r="AX703" s="10">
        <f t="shared" si="1178"/>
        <v>0</v>
      </c>
    </row>
    <row r="704" spans="1:50" x14ac:dyDescent="0.2">
      <c r="A704" s="8">
        <v>14500</v>
      </c>
      <c r="B704" s="89" t="str">
        <f t="shared" si="1130"/>
        <v>Ku-ring-gai</v>
      </c>
      <c r="C704" s="9" t="str">
        <f t="shared" si="1131"/>
        <v>NSROC</v>
      </c>
      <c r="D704" s="51" t="str">
        <f t="shared" si="1132"/>
        <v>S</v>
      </c>
      <c r="E704" s="10">
        <f t="shared" si="1133"/>
        <v>0</v>
      </c>
      <c r="F704" s="10">
        <f t="shared" si="1134"/>
        <v>127603</v>
      </c>
      <c r="G704" s="10">
        <f t="shared" si="1135"/>
        <v>44570</v>
      </c>
      <c r="H704" s="10">
        <f t="shared" si="1136"/>
        <v>2.8629795826789319</v>
      </c>
      <c r="I704" s="10">
        <f t="shared" si="1137"/>
        <v>85.4</v>
      </c>
      <c r="J704" s="10">
        <f t="shared" si="1138"/>
        <v>1494</v>
      </c>
      <c r="K704" s="10">
        <f t="shared" si="1139"/>
        <v>455</v>
      </c>
      <c r="L704" s="10" t="str">
        <f t="shared" si="1140"/>
        <v>Y</v>
      </c>
      <c r="M704" s="10">
        <f t="shared" si="1141"/>
        <v>44570</v>
      </c>
      <c r="N704" s="10">
        <f t="shared" si="1142"/>
        <v>31517</v>
      </c>
      <c r="O704" s="10">
        <f t="shared" si="1143"/>
        <v>31094</v>
      </c>
      <c r="P704" s="10">
        <f t="shared" si="1144"/>
        <v>0</v>
      </c>
      <c r="Q704" s="10">
        <f t="shared" si="1145"/>
        <v>44570</v>
      </c>
      <c r="R704" s="10" t="str">
        <f t="shared" si="1146"/>
        <v>Yes</v>
      </c>
      <c r="S704" s="10" t="str">
        <f t="shared" si="1147"/>
        <v>Gordon Library Recycling Station</v>
      </c>
      <c r="T704" s="10">
        <f t="shared" si="1148"/>
        <v>0</v>
      </c>
      <c r="U704" s="10">
        <f t="shared" si="1149"/>
        <v>0</v>
      </c>
      <c r="V704" s="10">
        <f t="shared" si="1150"/>
        <v>0</v>
      </c>
      <c r="W704" s="10">
        <f t="shared" si="1151"/>
        <v>0</v>
      </c>
      <c r="X704" s="10">
        <f t="shared" si="1152"/>
        <v>0</v>
      </c>
      <c r="Y704" s="10">
        <f t="shared" si="1153"/>
        <v>0</v>
      </c>
      <c r="Z704" s="10">
        <f t="shared" si="1154"/>
        <v>0</v>
      </c>
      <c r="AA704" s="10">
        <f t="shared" si="1155"/>
        <v>0</v>
      </c>
      <c r="AB704" s="10">
        <f t="shared" si="1156"/>
        <v>0</v>
      </c>
      <c r="AC704" s="10">
        <f t="shared" si="1157"/>
        <v>0</v>
      </c>
      <c r="AD704" s="10">
        <f t="shared" si="1158"/>
        <v>0</v>
      </c>
      <c r="AE704" s="10">
        <f t="shared" si="1159"/>
        <v>0</v>
      </c>
      <c r="AF704" s="10">
        <f t="shared" si="1160"/>
        <v>0</v>
      </c>
      <c r="AG704" s="10">
        <f t="shared" si="1161"/>
        <v>0</v>
      </c>
      <c r="AH704" s="10">
        <f t="shared" si="1162"/>
        <v>0</v>
      </c>
      <c r="AI704" s="10">
        <f t="shared" si="1163"/>
        <v>0</v>
      </c>
      <c r="AJ704" s="10">
        <f t="shared" si="1164"/>
        <v>0</v>
      </c>
      <c r="AK704" s="10">
        <f t="shared" si="1165"/>
        <v>0</v>
      </c>
      <c r="AL704" s="10">
        <f t="shared" si="1166"/>
        <v>0</v>
      </c>
      <c r="AM704" s="10">
        <f t="shared" si="1167"/>
        <v>0</v>
      </c>
      <c r="AN704" s="46">
        <f t="shared" si="1168"/>
        <v>0</v>
      </c>
      <c r="AO704" s="10">
        <f t="shared" si="1169"/>
        <v>0</v>
      </c>
      <c r="AP704" s="10">
        <f t="shared" si="1170"/>
        <v>0</v>
      </c>
      <c r="AQ704" s="10">
        <f t="shared" si="1171"/>
        <v>0</v>
      </c>
      <c r="AR704" s="10">
        <f t="shared" si="1172"/>
        <v>0</v>
      </c>
      <c r="AS704" s="10">
        <f t="shared" si="1173"/>
        <v>0</v>
      </c>
      <c r="AT704" s="10">
        <f t="shared" si="1174"/>
        <v>0</v>
      </c>
      <c r="AU704" s="10">
        <f t="shared" si="1175"/>
        <v>0</v>
      </c>
      <c r="AV704" s="10">
        <f t="shared" si="1176"/>
        <v>0</v>
      </c>
      <c r="AW704" s="10">
        <f t="shared" si="1177"/>
        <v>0</v>
      </c>
      <c r="AX704" s="10">
        <f t="shared" si="1178"/>
        <v>0</v>
      </c>
    </row>
    <row r="705" spans="1:50" x14ac:dyDescent="0.2">
      <c r="A705" s="8">
        <v>14700</v>
      </c>
      <c r="B705" s="89" t="str">
        <f t="shared" si="1130"/>
        <v>Lane Cove</v>
      </c>
      <c r="C705" s="9" t="str">
        <f t="shared" si="1131"/>
        <v>NSROC</v>
      </c>
      <c r="D705" s="51" t="str">
        <f t="shared" si="1132"/>
        <v>S</v>
      </c>
      <c r="E705" s="10">
        <f t="shared" si="1133"/>
        <v>0</v>
      </c>
      <c r="F705" s="10">
        <f t="shared" si="1134"/>
        <v>40534</v>
      </c>
      <c r="G705" s="10">
        <f t="shared" si="1135"/>
        <v>18192</v>
      </c>
      <c r="H705" s="10">
        <f t="shared" si="1136"/>
        <v>2.2281222515391379</v>
      </c>
      <c r="I705" s="10">
        <f t="shared" si="1137"/>
        <v>10.5</v>
      </c>
      <c r="J705" s="10">
        <f t="shared" si="1138"/>
        <v>3868</v>
      </c>
      <c r="K705" s="10">
        <f t="shared" si="1139"/>
        <v>456.5</v>
      </c>
      <c r="L705" s="10" t="str">
        <f t="shared" si="1140"/>
        <v>Y</v>
      </c>
      <c r="M705" s="10">
        <f t="shared" si="1141"/>
        <v>18132</v>
      </c>
      <c r="N705" s="10">
        <f t="shared" si="1142"/>
        <v>17932</v>
      </c>
      <c r="O705" s="10">
        <f t="shared" si="1143"/>
        <v>7203</v>
      </c>
      <c r="P705" s="10">
        <f t="shared" si="1144"/>
        <v>0</v>
      </c>
      <c r="Q705" s="10">
        <f t="shared" si="1145"/>
        <v>18192</v>
      </c>
      <c r="R705" s="10" t="str">
        <f t="shared" si="1146"/>
        <v>No</v>
      </c>
      <c r="S705" s="10">
        <f t="shared" si="1147"/>
        <v>0</v>
      </c>
      <c r="T705" s="10">
        <f t="shared" si="1148"/>
        <v>0</v>
      </c>
      <c r="U705" s="10">
        <f t="shared" si="1149"/>
        <v>0</v>
      </c>
      <c r="V705" s="10">
        <f t="shared" si="1150"/>
        <v>0</v>
      </c>
      <c r="W705" s="10">
        <f t="shared" si="1151"/>
        <v>0</v>
      </c>
      <c r="X705" s="10">
        <f t="shared" si="1152"/>
        <v>0</v>
      </c>
      <c r="Y705" s="10">
        <f t="shared" si="1153"/>
        <v>0</v>
      </c>
      <c r="Z705" s="10">
        <f t="shared" si="1154"/>
        <v>0</v>
      </c>
      <c r="AA705" s="10">
        <f t="shared" si="1155"/>
        <v>0</v>
      </c>
      <c r="AB705" s="10">
        <f t="shared" si="1156"/>
        <v>0</v>
      </c>
      <c r="AC705" s="10">
        <f t="shared" si="1157"/>
        <v>0</v>
      </c>
      <c r="AD705" s="10">
        <f t="shared" si="1158"/>
        <v>0</v>
      </c>
      <c r="AE705" s="10">
        <f t="shared" si="1159"/>
        <v>0</v>
      </c>
      <c r="AF705" s="10">
        <f t="shared" si="1160"/>
        <v>0</v>
      </c>
      <c r="AG705" s="10">
        <f t="shared" si="1161"/>
        <v>0</v>
      </c>
      <c r="AH705" s="10">
        <f t="shared" si="1162"/>
        <v>0</v>
      </c>
      <c r="AI705" s="10">
        <f t="shared" si="1163"/>
        <v>0</v>
      </c>
      <c r="AJ705" s="10">
        <f t="shared" si="1164"/>
        <v>0</v>
      </c>
      <c r="AK705" s="10">
        <f t="shared" si="1165"/>
        <v>0</v>
      </c>
      <c r="AL705" s="10">
        <f t="shared" si="1166"/>
        <v>0</v>
      </c>
      <c r="AM705" s="10">
        <f t="shared" si="1167"/>
        <v>0</v>
      </c>
      <c r="AN705" s="46">
        <f t="shared" si="1168"/>
        <v>0</v>
      </c>
      <c r="AO705" s="10">
        <f t="shared" si="1169"/>
        <v>0</v>
      </c>
      <c r="AP705" s="10">
        <f t="shared" si="1170"/>
        <v>0</v>
      </c>
      <c r="AQ705" s="10">
        <f t="shared" si="1171"/>
        <v>0</v>
      </c>
      <c r="AR705" s="10">
        <f t="shared" si="1172"/>
        <v>0</v>
      </c>
      <c r="AS705" s="10">
        <f t="shared" si="1173"/>
        <v>0</v>
      </c>
      <c r="AT705" s="10">
        <f t="shared" si="1174"/>
        <v>0</v>
      </c>
      <c r="AU705" s="10">
        <f t="shared" si="1175"/>
        <v>0</v>
      </c>
      <c r="AV705" s="10">
        <f t="shared" si="1176"/>
        <v>0</v>
      </c>
      <c r="AW705" s="10">
        <f t="shared" si="1177"/>
        <v>0</v>
      </c>
      <c r="AX705" s="10">
        <f t="shared" si="1178"/>
        <v>0</v>
      </c>
    </row>
    <row r="706" spans="1:50" x14ac:dyDescent="0.2">
      <c r="A706" s="8">
        <v>15950</v>
      </c>
      <c r="B706" s="89" t="str">
        <f t="shared" si="1130"/>
        <v>North Sydney</v>
      </c>
      <c r="C706" s="9" t="str">
        <f t="shared" si="1131"/>
        <v>NSROC</v>
      </c>
      <c r="D706" s="51" t="str">
        <f t="shared" si="1132"/>
        <v>S</v>
      </c>
      <c r="E706" s="10">
        <f t="shared" si="1133"/>
        <v>0</v>
      </c>
      <c r="F706" s="10">
        <f t="shared" si="1134"/>
        <v>75094</v>
      </c>
      <c r="G706" s="10">
        <f t="shared" si="1135"/>
        <v>40704</v>
      </c>
      <c r="H706" s="10">
        <f t="shared" si="1136"/>
        <v>1.8448801100628931</v>
      </c>
      <c r="I706" s="10">
        <f t="shared" si="1137"/>
        <v>10.5</v>
      </c>
      <c r="J706" s="10">
        <f t="shared" si="1138"/>
        <v>7161.6</v>
      </c>
      <c r="K706" s="10">
        <f t="shared" si="1139"/>
        <v>420</v>
      </c>
      <c r="L706" s="10" t="str">
        <f t="shared" si="1140"/>
        <v>Y</v>
      </c>
      <c r="M706" s="10">
        <f t="shared" si="1141"/>
        <v>39026</v>
      </c>
      <c r="N706" s="10">
        <f t="shared" si="1142"/>
        <v>40704</v>
      </c>
      <c r="O706" s="10">
        <f t="shared" si="1143"/>
        <v>0</v>
      </c>
      <c r="P706" s="10">
        <f t="shared" si="1144"/>
        <v>0</v>
      </c>
      <c r="Q706" s="10">
        <f t="shared" si="1145"/>
        <v>40704</v>
      </c>
      <c r="R706" s="10" t="str">
        <f t="shared" si="1146"/>
        <v>Yes</v>
      </c>
      <c r="S706" s="10" t="str">
        <f t="shared" si="1147"/>
        <v xml:space="preserve">Northern Sydney Community Recycling Centre </v>
      </c>
      <c r="T706" s="10">
        <f t="shared" si="1148"/>
        <v>0</v>
      </c>
      <c r="U706" s="10">
        <f t="shared" si="1149"/>
        <v>0</v>
      </c>
      <c r="V706" s="10">
        <f t="shared" si="1150"/>
        <v>0</v>
      </c>
      <c r="W706" s="10">
        <f t="shared" si="1151"/>
        <v>0</v>
      </c>
      <c r="X706" s="10">
        <f t="shared" si="1152"/>
        <v>0</v>
      </c>
      <c r="Y706" s="10">
        <f t="shared" si="1153"/>
        <v>0</v>
      </c>
      <c r="Z706" s="10">
        <f t="shared" si="1154"/>
        <v>0</v>
      </c>
      <c r="AA706" s="10">
        <f t="shared" si="1155"/>
        <v>0</v>
      </c>
      <c r="AB706" s="10">
        <f t="shared" si="1156"/>
        <v>0</v>
      </c>
      <c r="AC706" s="10">
        <f t="shared" si="1157"/>
        <v>0</v>
      </c>
      <c r="AD706" s="10">
        <f t="shared" si="1158"/>
        <v>0</v>
      </c>
      <c r="AE706" s="10">
        <f t="shared" si="1159"/>
        <v>0</v>
      </c>
      <c r="AF706" s="10">
        <f t="shared" si="1160"/>
        <v>0</v>
      </c>
      <c r="AG706" s="10">
        <f t="shared" si="1161"/>
        <v>0</v>
      </c>
      <c r="AH706" s="10">
        <f t="shared" si="1162"/>
        <v>0</v>
      </c>
      <c r="AI706" s="10">
        <f t="shared" si="1163"/>
        <v>0</v>
      </c>
      <c r="AJ706" s="10">
        <f t="shared" si="1164"/>
        <v>0</v>
      </c>
      <c r="AK706" s="10">
        <f t="shared" si="1165"/>
        <v>0</v>
      </c>
      <c r="AL706" s="10">
        <f t="shared" si="1166"/>
        <v>0</v>
      </c>
      <c r="AM706" s="10">
        <f t="shared" si="1167"/>
        <v>0</v>
      </c>
      <c r="AN706" s="46">
        <f t="shared" si="1168"/>
        <v>0</v>
      </c>
      <c r="AO706" s="10">
        <f t="shared" si="1169"/>
        <v>0</v>
      </c>
      <c r="AP706" s="10">
        <f t="shared" si="1170"/>
        <v>0</v>
      </c>
      <c r="AQ706" s="10">
        <f t="shared" si="1171"/>
        <v>0</v>
      </c>
      <c r="AR706" s="10">
        <f t="shared" si="1172"/>
        <v>0</v>
      </c>
      <c r="AS706" s="10">
        <f t="shared" si="1173"/>
        <v>0</v>
      </c>
      <c r="AT706" s="10">
        <f t="shared" si="1174"/>
        <v>0</v>
      </c>
      <c r="AU706" s="10">
        <f t="shared" si="1175"/>
        <v>0</v>
      </c>
      <c r="AV706" s="10">
        <f t="shared" si="1176"/>
        <v>0</v>
      </c>
      <c r="AW706" s="10">
        <f t="shared" si="1177"/>
        <v>0</v>
      </c>
      <c r="AX706" s="10">
        <f t="shared" si="1178"/>
        <v>0</v>
      </c>
    </row>
    <row r="707" spans="1:50" x14ac:dyDescent="0.2">
      <c r="A707" s="8">
        <v>15350</v>
      </c>
      <c r="B707" s="89" t="str">
        <f t="shared" si="1130"/>
        <v>Mosman</v>
      </c>
      <c r="C707" s="9" t="str">
        <f t="shared" si="1131"/>
        <v>NSROC</v>
      </c>
      <c r="D707" s="51" t="str">
        <f t="shared" si="1132"/>
        <v>S</v>
      </c>
      <c r="E707" s="10">
        <f t="shared" si="1133"/>
        <v>0</v>
      </c>
      <c r="F707" s="10">
        <f t="shared" si="1134"/>
        <v>30785</v>
      </c>
      <c r="G707" s="10">
        <f t="shared" si="1135"/>
        <v>13130</v>
      </c>
      <c r="H707" s="10">
        <f t="shared" si="1136"/>
        <v>2.3446306169078448</v>
      </c>
      <c r="I707" s="10">
        <f t="shared" si="1137"/>
        <v>8.6999999999999993</v>
      </c>
      <c r="J707" s="10">
        <f t="shared" si="1138"/>
        <v>3558.8</v>
      </c>
      <c r="K707" s="10">
        <f t="shared" si="1139"/>
        <v>620</v>
      </c>
      <c r="L707" s="10" t="str">
        <f t="shared" si="1140"/>
        <v>Y</v>
      </c>
      <c r="M707" s="10">
        <f t="shared" si="1141"/>
        <v>13130</v>
      </c>
      <c r="N707" s="10">
        <f t="shared" si="1142"/>
        <v>13130</v>
      </c>
      <c r="O707" s="10">
        <f t="shared" si="1143"/>
        <v>13130</v>
      </c>
      <c r="P707" s="10">
        <f t="shared" si="1144"/>
        <v>0</v>
      </c>
      <c r="Q707" s="10">
        <f t="shared" si="1145"/>
        <v>13130</v>
      </c>
      <c r="R707" s="10" t="str">
        <f t="shared" si="1146"/>
        <v>Yes</v>
      </c>
      <c r="S707" s="10" t="str">
        <f t="shared" si="1147"/>
        <v>CRC Artarmon</v>
      </c>
      <c r="T707" s="10" t="str">
        <f t="shared" si="1148"/>
        <v>Kimbriki resource recovery centre</v>
      </c>
      <c r="U707" s="10">
        <f t="shared" si="1149"/>
        <v>0</v>
      </c>
      <c r="V707" s="10">
        <f t="shared" si="1150"/>
        <v>0</v>
      </c>
      <c r="W707" s="10">
        <f t="shared" si="1151"/>
        <v>0</v>
      </c>
      <c r="X707" s="10">
        <f t="shared" si="1152"/>
        <v>0</v>
      </c>
      <c r="Y707" s="10">
        <f t="shared" si="1153"/>
        <v>0</v>
      </c>
      <c r="Z707" s="10">
        <f t="shared" si="1154"/>
        <v>0</v>
      </c>
      <c r="AA707" s="10">
        <f t="shared" si="1155"/>
        <v>0</v>
      </c>
      <c r="AB707" s="10">
        <f t="shared" si="1156"/>
        <v>0</v>
      </c>
      <c r="AC707" s="10">
        <f t="shared" si="1157"/>
        <v>0</v>
      </c>
      <c r="AD707" s="10">
        <f t="shared" si="1158"/>
        <v>0</v>
      </c>
      <c r="AE707" s="10">
        <f t="shared" si="1159"/>
        <v>0</v>
      </c>
      <c r="AF707" s="10">
        <f t="shared" si="1160"/>
        <v>0</v>
      </c>
      <c r="AG707" s="10">
        <f t="shared" si="1161"/>
        <v>0</v>
      </c>
      <c r="AH707" s="10">
        <f t="shared" si="1162"/>
        <v>0</v>
      </c>
      <c r="AI707" s="10">
        <f t="shared" si="1163"/>
        <v>0</v>
      </c>
      <c r="AJ707" s="10">
        <f t="shared" si="1164"/>
        <v>0</v>
      </c>
      <c r="AK707" s="10">
        <f t="shared" si="1165"/>
        <v>0</v>
      </c>
      <c r="AL707" s="10">
        <f t="shared" si="1166"/>
        <v>0</v>
      </c>
      <c r="AM707" s="10">
        <f t="shared" si="1167"/>
        <v>0</v>
      </c>
      <c r="AN707" s="46">
        <f t="shared" si="1168"/>
        <v>0</v>
      </c>
      <c r="AO707" s="10">
        <f t="shared" si="1169"/>
        <v>0</v>
      </c>
      <c r="AP707" s="10">
        <f t="shared" si="1170"/>
        <v>0</v>
      </c>
      <c r="AQ707" s="10">
        <f t="shared" si="1171"/>
        <v>0</v>
      </c>
      <c r="AR707" s="10">
        <f t="shared" si="1172"/>
        <v>0</v>
      </c>
      <c r="AS707" s="10">
        <f t="shared" si="1173"/>
        <v>0</v>
      </c>
      <c r="AT707" s="10">
        <f t="shared" si="1174"/>
        <v>0</v>
      </c>
      <c r="AU707" s="10">
        <f t="shared" si="1175"/>
        <v>0</v>
      </c>
      <c r="AV707" s="10">
        <f t="shared" si="1176"/>
        <v>0</v>
      </c>
      <c r="AW707" s="10">
        <f t="shared" si="1177"/>
        <v>0</v>
      </c>
      <c r="AX707" s="10">
        <f t="shared" si="1178"/>
        <v>0</v>
      </c>
    </row>
    <row r="708" spans="1:50" x14ac:dyDescent="0.2">
      <c r="A708" s="8">
        <v>16700</v>
      </c>
      <c r="B708" s="89" t="str">
        <f t="shared" si="1130"/>
        <v>Ryde</v>
      </c>
      <c r="C708" s="9" t="str">
        <f t="shared" si="1131"/>
        <v>NSROC</v>
      </c>
      <c r="D708" s="51" t="str">
        <f t="shared" si="1132"/>
        <v>S</v>
      </c>
      <c r="E708" s="10">
        <f t="shared" si="1133"/>
        <v>0</v>
      </c>
      <c r="F708" s="10">
        <f t="shared" si="1134"/>
        <v>133224</v>
      </c>
      <c r="G708" s="10">
        <f t="shared" si="1135"/>
        <v>51509</v>
      </c>
      <c r="H708" s="10">
        <f t="shared" si="1136"/>
        <v>2.5864217903667321</v>
      </c>
      <c r="I708" s="10">
        <f t="shared" si="1137"/>
        <v>40.5</v>
      </c>
      <c r="J708" s="10">
        <f t="shared" si="1138"/>
        <v>3291.5</v>
      </c>
      <c r="K708" s="10">
        <f t="shared" si="1139"/>
        <v>433</v>
      </c>
      <c r="L708" s="10" t="str">
        <f t="shared" si="1140"/>
        <v>Y</v>
      </c>
      <c r="M708" s="10">
        <f t="shared" si="1141"/>
        <v>34664</v>
      </c>
      <c r="N708" s="10">
        <f t="shared" si="1142"/>
        <v>35985</v>
      </c>
      <c r="O708" s="10">
        <f t="shared" si="1143"/>
        <v>28525</v>
      </c>
      <c r="P708" s="10">
        <f t="shared" si="1144"/>
        <v>0</v>
      </c>
      <c r="Q708" s="10">
        <f t="shared" si="1145"/>
        <v>51509</v>
      </c>
      <c r="R708" s="10" t="str">
        <f t="shared" si="1146"/>
        <v>Yes</v>
      </c>
      <c r="S708" s="10">
        <f t="shared" si="1147"/>
        <v>0</v>
      </c>
      <c r="T708" s="10">
        <f t="shared" si="1148"/>
        <v>0</v>
      </c>
      <c r="U708" s="10">
        <f t="shared" si="1149"/>
        <v>0</v>
      </c>
      <c r="V708" s="10">
        <f t="shared" si="1150"/>
        <v>0</v>
      </c>
      <c r="W708" s="10">
        <f t="shared" si="1151"/>
        <v>0</v>
      </c>
      <c r="X708" s="10">
        <f t="shared" si="1152"/>
        <v>0</v>
      </c>
      <c r="Y708" s="10">
        <f t="shared" si="1153"/>
        <v>0</v>
      </c>
      <c r="Z708" s="10">
        <f t="shared" si="1154"/>
        <v>0</v>
      </c>
      <c r="AA708" s="10">
        <f t="shared" si="1155"/>
        <v>0</v>
      </c>
      <c r="AB708" s="10">
        <f t="shared" si="1156"/>
        <v>0</v>
      </c>
      <c r="AC708" s="10">
        <f t="shared" si="1157"/>
        <v>0</v>
      </c>
      <c r="AD708" s="10">
        <f t="shared" si="1158"/>
        <v>0</v>
      </c>
      <c r="AE708" s="10">
        <f t="shared" si="1159"/>
        <v>0</v>
      </c>
      <c r="AF708" s="10">
        <f t="shared" si="1160"/>
        <v>0</v>
      </c>
      <c r="AG708" s="10">
        <f t="shared" si="1161"/>
        <v>0</v>
      </c>
      <c r="AH708" s="10">
        <f t="shared" si="1162"/>
        <v>0</v>
      </c>
      <c r="AI708" s="10">
        <f t="shared" si="1163"/>
        <v>0</v>
      </c>
      <c r="AJ708" s="10">
        <f t="shared" si="1164"/>
        <v>0</v>
      </c>
      <c r="AK708" s="10">
        <f t="shared" si="1165"/>
        <v>0</v>
      </c>
      <c r="AL708" s="10">
        <f t="shared" si="1166"/>
        <v>0</v>
      </c>
      <c r="AM708" s="10">
        <f t="shared" si="1167"/>
        <v>0</v>
      </c>
      <c r="AN708" s="46">
        <f t="shared" si="1168"/>
        <v>0</v>
      </c>
      <c r="AO708" s="10">
        <f t="shared" si="1169"/>
        <v>0</v>
      </c>
      <c r="AP708" s="10">
        <f t="shared" si="1170"/>
        <v>0</v>
      </c>
      <c r="AQ708" s="10">
        <f t="shared" si="1171"/>
        <v>0</v>
      </c>
      <c r="AR708" s="10">
        <f t="shared" si="1172"/>
        <v>0</v>
      </c>
      <c r="AS708" s="10">
        <f t="shared" si="1173"/>
        <v>0</v>
      </c>
      <c r="AT708" s="10">
        <f t="shared" si="1174"/>
        <v>0</v>
      </c>
      <c r="AU708" s="10">
        <f t="shared" si="1175"/>
        <v>0</v>
      </c>
      <c r="AV708" s="10">
        <f t="shared" si="1176"/>
        <v>0</v>
      </c>
      <c r="AW708" s="10">
        <f t="shared" si="1177"/>
        <v>0</v>
      </c>
      <c r="AX708" s="10">
        <f t="shared" si="1178"/>
        <v>0</v>
      </c>
    </row>
    <row r="709" spans="1:50" ht="13.5" thickBot="1" x14ac:dyDescent="0.25">
      <c r="A709" s="8">
        <v>18250</v>
      </c>
      <c r="B709" s="89" t="str">
        <f t="shared" si="1130"/>
        <v>Willoughby</v>
      </c>
      <c r="C709" s="9" t="str">
        <f t="shared" si="1131"/>
        <v>NSROC</v>
      </c>
      <c r="D709" s="51" t="str">
        <f t="shared" si="1132"/>
        <v>S</v>
      </c>
      <c r="E709" s="10">
        <f t="shared" si="1133"/>
        <v>0</v>
      </c>
      <c r="F709" s="10">
        <f t="shared" si="1134"/>
        <v>81196</v>
      </c>
      <c r="G709" s="10">
        <f t="shared" si="1135"/>
        <v>32319</v>
      </c>
      <c r="H709" s="10">
        <f t="shared" si="1136"/>
        <v>2.5123302082366408</v>
      </c>
      <c r="I709" s="10">
        <f t="shared" si="1137"/>
        <v>22.4</v>
      </c>
      <c r="J709" s="10">
        <f t="shared" si="1138"/>
        <v>3620.7</v>
      </c>
      <c r="K709" s="10">
        <f t="shared" si="1139"/>
        <v>530</v>
      </c>
      <c r="L709" s="10" t="str">
        <f t="shared" si="1140"/>
        <v>Y</v>
      </c>
      <c r="M709" s="10">
        <f t="shared" si="1141"/>
        <v>29827</v>
      </c>
      <c r="N709" s="10">
        <f t="shared" si="1142"/>
        <v>32319</v>
      </c>
      <c r="O709" s="10">
        <f t="shared" si="1143"/>
        <v>13356</v>
      </c>
      <c r="P709" s="10">
        <f t="shared" si="1144"/>
        <v>0</v>
      </c>
      <c r="Q709" s="10">
        <f t="shared" si="1145"/>
        <v>32319</v>
      </c>
      <c r="R709" s="10" t="str">
        <f t="shared" si="1146"/>
        <v>No</v>
      </c>
      <c r="S709" s="10" t="str">
        <f t="shared" si="1147"/>
        <v>Northern Sydney Community Recycling Centre- Artarmon</v>
      </c>
      <c r="T709" s="10">
        <f t="shared" si="1148"/>
        <v>0</v>
      </c>
      <c r="U709" s="10">
        <f t="shared" si="1149"/>
        <v>0</v>
      </c>
      <c r="V709" s="10">
        <f t="shared" si="1150"/>
        <v>0</v>
      </c>
      <c r="W709" s="10">
        <f t="shared" si="1151"/>
        <v>0</v>
      </c>
      <c r="X709" s="10">
        <f t="shared" si="1152"/>
        <v>0</v>
      </c>
      <c r="Y709" s="10">
        <f t="shared" si="1153"/>
        <v>0</v>
      </c>
      <c r="Z709" s="10">
        <f t="shared" si="1154"/>
        <v>0</v>
      </c>
      <c r="AA709" s="10">
        <f t="shared" si="1155"/>
        <v>0</v>
      </c>
      <c r="AB709" s="10">
        <f t="shared" si="1156"/>
        <v>0</v>
      </c>
      <c r="AC709" s="10">
        <f t="shared" si="1157"/>
        <v>0</v>
      </c>
      <c r="AD709" s="10">
        <f t="shared" si="1158"/>
        <v>0</v>
      </c>
      <c r="AE709" s="10">
        <f t="shared" si="1159"/>
        <v>0</v>
      </c>
      <c r="AF709" s="10">
        <f t="shared" si="1160"/>
        <v>0</v>
      </c>
      <c r="AG709" s="10">
        <f t="shared" si="1161"/>
        <v>0</v>
      </c>
      <c r="AH709" s="10">
        <f t="shared" si="1162"/>
        <v>0</v>
      </c>
      <c r="AI709" s="10">
        <f t="shared" si="1163"/>
        <v>0</v>
      </c>
      <c r="AJ709" s="10">
        <f t="shared" si="1164"/>
        <v>0</v>
      </c>
      <c r="AK709" s="10">
        <f t="shared" si="1165"/>
        <v>0</v>
      </c>
      <c r="AL709" s="10">
        <f t="shared" si="1166"/>
        <v>0</v>
      </c>
      <c r="AM709" s="10">
        <f t="shared" si="1167"/>
        <v>0</v>
      </c>
      <c r="AN709" s="46">
        <f t="shared" si="1168"/>
        <v>0</v>
      </c>
      <c r="AO709" s="10">
        <f t="shared" si="1169"/>
        <v>0</v>
      </c>
      <c r="AP709" s="10">
        <f t="shared" si="1170"/>
        <v>0</v>
      </c>
      <c r="AQ709" s="10">
        <f t="shared" si="1171"/>
        <v>0</v>
      </c>
      <c r="AR709" s="10">
        <f t="shared" si="1172"/>
        <v>0</v>
      </c>
      <c r="AS709" s="10">
        <f t="shared" si="1173"/>
        <v>0</v>
      </c>
      <c r="AT709" s="10">
        <f t="shared" si="1174"/>
        <v>0</v>
      </c>
      <c r="AU709" s="10">
        <f t="shared" si="1175"/>
        <v>0</v>
      </c>
      <c r="AV709" s="10">
        <f t="shared" si="1176"/>
        <v>0</v>
      </c>
      <c r="AW709" s="10">
        <f t="shared" si="1177"/>
        <v>0</v>
      </c>
      <c r="AX709" s="10">
        <f t="shared" si="1178"/>
        <v>0</v>
      </c>
    </row>
    <row r="710" spans="1:50" ht="13.5" thickTop="1" x14ac:dyDescent="0.2">
      <c r="A710" s="11"/>
      <c r="B710" s="11"/>
      <c r="C710" s="11" t="s">
        <v>30</v>
      </c>
      <c r="D710" s="11"/>
      <c r="E710" s="12"/>
      <c r="F710" s="13">
        <f t="shared" ref="F710:AX710" si="1179">COUNTIF(F702:F709,"&gt;0")</f>
        <v>8</v>
      </c>
      <c r="G710" s="13">
        <f t="shared" si="1179"/>
        <v>8</v>
      </c>
      <c r="H710" s="13">
        <f t="shared" si="1179"/>
        <v>8</v>
      </c>
      <c r="I710" s="13">
        <f t="shared" si="1179"/>
        <v>8</v>
      </c>
      <c r="J710" s="13">
        <f t="shared" si="1179"/>
        <v>8</v>
      </c>
      <c r="K710" s="13">
        <f t="shared" si="1179"/>
        <v>8</v>
      </c>
      <c r="L710" s="13">
        <f t="shared" si="1179"/>
        <v>0</v>
      </c>
      <c r="M710" s="13">
        <f t="shared" si="1179"/>
        <v>8</v>
      </c>
      <c r="N710" s="13">
        <f t="shared" si="1179"/>
        <v>8</v>
      </c>
      <c r="O710" s="13">
        <f t="shared" si="1179"/>
        <v>7</v>
      </c>
      <c r="P710" s="13">
        <f t="shared" si="1179"/>
        <v>0</v>
      </c>
      <c r="Q710" s="13">
        <f t="shared" si="1179"/>
        <v>8</v>
      </c>
      <c r="R710" s="13">
        <f t="shared" si="1179"/>
        <v>0</v>
      </c>
      <c r="S710" s="13">
        <f t="shared" si="1179"/>
        <v>0</v>
      </c>
      <c r="T710" s="13">
        <f t="shared" si="1179"/>
        <v>0</v>
      </c>
      <c r="U710" s="13">
        <f t="shared" si="1179"/>
        <v>0</v>
      </c>
      <c r="V710" s="13">
        <f t="shared" si="1179"/>
        <v>0</v>
      </c>
      <c r="W710" s="13">
        <f t="shared" si="1179"/>
        <v>0</v>
      </c>
      <c r="X710" s="13">
        <f t="shared" si="1179"/>
        <v>0</v>
      </c>
      <c r="Y710" s="13">
        <f t="shared" si="1179"/>
        <v>0</v>
      </c>
      <c r="Z710" s="13">
        <f t="shared" si="1179"/>
        <v>0</v>
      </c>
      <c r="AA710" s="13">
        <f t="shared" si="1179"/>
        <v>0</v>
      </c>
      <c r="AB710" s="13">
        <f t="shared" si="1179"/>
        <v>0</v>
      </c>
      <c r="AC710" s="13">
        <f t="shared" si="1179"/>
        <v>0</v>
      </c>
      <c r="AD710" s="13">
        <f t="shared" si="1179"/>
        <v>0</v>
      </c>
      <c r="AE710" s="13">
        <f t="shared" si="1179"/>
        <v>0</v>
      </c>
      <c r="AF710" s="13">
        <f t="shared" si="1179"/>
        <v>0</v>
      </c>
      <c r="AG710" s="13">
        <f t="shared" si="1179"/>
        <v>0</v>
      </c>
      <c r="AH710" s="13">
        <f t="shared" si="1179"/>
        <v>0</v>
      </c>
      <c r="AI710" s="13">
        <f t="shared" si="1179"/>
        <v>0</v>
      </c>
      <c r="AJ710" s="13">
        <f t="shared" si="1179"/>
        <v>0</v>
      </c>
      <c r="AK710" s="13">
        <f t="shared" si="1179"/>
        <v>0</v>
      </c>
      <c r="AL710" s="13">
        <f t="shared" si="1179"/>
        <v>0</v>
      </c>
      <c r="AM710" s="44">
        <f t="shared" si="1179"/>
        <v>0</v>
      </c>
      <c r="AN710" s="13">
        <f t="shared" si="1179"/>
        <v>0</v>
      </c>
      <c r="AO710" s="13">
        <f t="shared" si="1179"/>
        <v>0</v>
      </c>
      <c r="AP710" s="13">
        <f t="shared" si="1179"/>
        <v>0</v>
      </c>
      <c r="AQ710" s="13">
        <f t="shared" si="1179"/>
        <v>0</v>
      </c>
      <c r="AR710" s="13">
        <f t="shared" si="1179"/>
        <v>0</v>
      </c>
      <c r="AS710" s="13">
        <f t="shared" si="1179"/>
        <v>0</v>
      </c>
      <c r="AT710" s="13">
        <f t="shared" si="1179"/>
        <v>0</v>
      </c>
      <c r="AU710" s="13">
        <f t="shared" si="1179"/>
        <v>0</v>
      </c>
      <c r="AV710" s="13">
        <f t="shared" si="1179"/>
        <v>0</v>
      </c>
      <c r="AW710" s="13">
        <f t="shared" si="1179"/>
        <v>0</v>
      </c>
      <c r="AX710" s="13">
        <f t="shared" si="1179"/>
        <v>0</v>
      </c>
    </row>
    <row r="711" spans="1:50" x14ac:dyDescent="0.2">
      <c r="A711" s="8"/>
      <c r="B711" s="8"/>
      <c r="C711" s="8" t="s">
        <v>31</v>
      </c>
      <c r="D711" s="8"/>
      <c r="E711" s="80"/>
      <c r="F711" s="15">
        <f>SUM(F702:F709)</f>
        <v>655817</v>
      </c>
      <c r="G711" s="15">
        <f t="shared" ref="G711:AX711" si="1180">SUM(G702:G709)</f>
        <v>258149</v>
      </c>
      <c r="H711" s="110">
        <f>F711/G711</f>
        <v>2.5404591921719626</v>
      </c>
      <c r="I711" s="15">
        <f t="shared" si="1180"/>
        <v>638.70000000000005</v>
      </c>
      <c r="J711" s="15">
        <f t="shared" si="1180"/>
        <v>25946.800000000003</v>
      </c>
      <c r="K711" s="15">
        <f t="shared" si="1180"/>
        <v>4005.5</v>
      </c>
      <c r="L711" s="15">
        <f t="shared" si="1180"/>
        <v>0</v>
      </c>
      <c r="M711" s="15">
        <f t="shared" si="1180"/>
        <v>236763</v>
      </c>
      <c r="N711" s="15">
        <f t="shared" si="1180"/>
        <v>228919</v>
      </c>
      <c r="O711" s="15">
        <f t="shared" si="1180"/>
        <v>150489</v>
      </c>
      <c r="P711" s="15">
        <f t="shared" si="1180"/>
        <v>0</v>
      </c>
      <c r="Q711" s="15">
        <f t="shared" si="1180"/>
        <v>258149</v>
      </c>
      <c r="R711" s="15">
        <f t="shared" si="1180"/>
        <v>0</v>
      </c>
      <c r="S711" s="15">
        <f t="shared" si="1180"/>
        <v>0</v>
      </c>
      <c r="T711" s="15">
        <f t="shared" si="1180"/>
        <v>0</v>
      </c>
      <c r="U711" s="15">
        <f t="shared" si="1180"/>
        <v>0</v>
      </c>
      <c r="V711" s="15">
        <f t="shared" si="1180"/>
        <v>0</v>
      </c>
      <c r="W711" s="15">
        <f t="shared" si="1180"/>
        <v>0</v>
      </c>
      <c r="X711" s="15">
        <f t="shared" si="1180"/>
        <v>0</v>
      </c>
      <c r="Y711" s="15">
        <f t="shared" si="1180"/>
        <v>0</v>
      </c>
      <c r="Z711" s="15">
        <f t="shared" si="1180"/>
        <v>0</v>
      </c>
      <c r="AA711" s="15">
        <f t="shared" si="1180"/>
        <v>0</v>
      </c>
      <c r="AB711" s="15">
        <f t="shared" si="1180"/>
        <v>0</v>
      </c>
      <c r="AC711" s="15">
        <f t="shared" si="1180"/>
        <v>0</v>
      </c>
      <c r="AD711" s="15">
        <f t="shared" si="1180"/>
        <v>0</v>
      </c>
      <c r="AE711" s="15">
        <f t="shared" si="1180"/>
        <v>0</v>
      </c>
      <c r="AF711" s="15">
        <f t="shared" si="1180"/>
        <v>0</v>
      </c>
      <c r="AG711" s="15">
        <f t="shared" si="1180"/>
        <v>0</v>
      </c>
      <c r="AH711" s="15">
        <f t="shared" si="1180"/>
        <v>0</v>
      </c>
      <c r="AI711" s="15">
        <f t="shared" si="1180"/>
        <v>0</v>
      </c>
      <c r="AJ711" s="15">
        <f t="shared" si="1180"/>
        <v>0</v>
      </c>
      <c r="AK711" s="15">
        <f t="shared" si="1180"/>
        <v>0</v>
      </c>
      <c r="AL711" s="15">
        <f t="shared" si="1180"/>
        <v>0</v>
      </c>
      <c r="AM711" s="45">
        <f t="shared" si="1180"/>
        <v>0</v>
      </c>
      <c r="AN711" s="15">
        <f t="shared" si="1180"/>
        <v>0</v>
      </c>
      <c r="AO711" s="15">
        <f t="shared" si="1180"/>
        <v>0</v>
      </c>
      <c r="AP711" s="15">
        <f t="shared" si="1180"/>
        <v>0</v>
      </c>
      <c r="AQ711" s="15">
        <f t="shared" si="1180"/>
        <v>0</v>
      </c>
      <c r="AR711" s="15">
        <f t="shared" si="1180"/>
        <v>0</v>
      </c>
      <c r="AS711" s="15">
        <f t="shared" si="1180"/>
        <v>0</v>
      </c>
      <c r="AT711" s="15">
        <f t="shared" si="1180"/>
        <v>0</v>
      </c>
      <c r="AU711" s="15">
        <f t="shared" si="1180"/>
        <v>0</v>
      </c>
      <c r="AV711" s="15">
        <f t="shared" si="1180"/>
        <v>0</v>
      </c>
      <c r="AW711" s="15">
        <f t="shared" si="1180"/>
        <v>0</v>
      </c>
      <c r="AX711" s="15">
        <f t="shared" si="1180"/>
        <v>0</v>
      </c>
    </row>
    <row r="712" spans="1:50" x14ac:dyDescent="0.2">
      <c r="A712" s="8"/>
      <c r="B712" s="8"/>
      <c r="C712" s="8" t="s">
        <v>32</v>
      </c>
      <c r="D712" s="8"/>
      <c r="E712" s="80"/>
      <c r="F712" s="10">
        <f t="shared" ref="F712:AX712" si="1181">MIN(F702:F709)</f>
        <v>14962</v>
      </c>
      <c r="G712" s="10">
        <f t="shared" si="1181"/>
        <v>5237</v>
      </c>
      <c r="H712" s="10">
        <f t="shared" si="1181"/>
        <v>1.8448801100628931</v>
      </c>
      <c r="I712" s="10">
        <f t="shared" si="1181"/>
        <v>5.7</v>
      </c>
      <c r="J712" s="10">
        <f t="shared" si="1181"/>
        <v>335</v>
      </c>
      <c r="K712" s="10">
        <f t="shared" si="1181"/>
        <v>420</v>
      </c>
      <c r="L712" s="10">
        <f t="shared" si="1181"/>
        <v>0</v>
      </c>
      <c r="M712" s="10">
        <f t="shared" si="1181"/>
        <v>4926</v>
      </c>
      <c r="N712" s="10">
        <f t="shared" si="1181"/>
        <v>4844</v>
      </c>
      <c r="O712" s="10">
        <f t="shared" si="1181"/>
        <v>0</v>
      </c>
      <c r="P712" s="10">
        <f t="shared" si="1181"/>
        <v>0</v>
      </c>
      <c r="Q712" s="10">
        <f t="shared" si="1181"/>
        <v>5237</v>
      </c>
      <c r="R712" s="10">
        <f t="shared" si="1181"/>
        <v>0</v>
      </c>
      <c r="S712" s="10">
        <f t="shared" si="1181"/>
        <v>0</v>
      </c>
      <c r="T712" s="10">
        <f t="shared" si="1181"/>
        <v>0</v>
      </c>
      <c r="U712" s="10">
        <f t="shared" si="1181"/>
        <v>0</v>
      </c>
      <c r="V712" s="10">
        <f t="shared" si="1181"/>
        <v>0</v>
      </c>
      <c r="W712" s="10">
        <f t="shared" si="1181"/>
        <v>0</v>
      </c>
      <c r="X712" s="10">
        <f t="shared" si="1181"/>
        <v>0</v>
      </c>
      <c r="Y712" s="10">
        <f t="shared" si="1181"/>
        <v>0</v>
      </c>
      <c r="Z712" s="10">
        <f t="shared" si="1181"/>
        <v>0</v>
      </c>
      <c r="AA712" s="10">
        <f t="shared" si="1181"/>
        <v>0</v>
      </c>
      <c r="AB712" s="10">
        <f t="shared" si="1181"/>
        <v>0</v>
      </c>
      <c r="AC712" s="10">
        <f t="shared" si="1181"/>
        <v>0</v>
      </c>
      <c r="AD712" s="10">
        <f t="shared" si="1181"/>
        <v>0</v>
      </c>
      <c r="AE712" s="10">
        <f t="shared" si="1181"/>
        <v>0</v>
      </c>
      <c r="AF712" s="10">
        <f t="shared" si="1181"/>
        <v>0</v>
      </c>
      <c r="AG712" s="10">
        <f t="shared" si="1181"/>
        <v>0</v>
      </c>
      <c r="AH712" s="10">
        <f t="shared" si="1181"/>
        <v>0</v>
      </c>
      <c r="AI712" s="10">
        <f t="shared" si="1181"/>
        <v>0</v>
      </c>
      <c r="AJ712" s="10">
        <f t="shared" si="1181"/>
        <v>0</v>
      </c>
      <c r="AK712" s="10">
        <f t="shared" si="1181"/>
        <v>0</v>
      </c>
      <c r="AL712" s="10">
        <f t="shared" si="1181"/>
        <v>0</v>
      </c>
      <c r="AM712" s="46">
        <f t="shared" si="1181"/>
        <v>0</v>
      </c>
      <c r="AN712" s="10">
        <f t="shared" si="1181"/>
        <v>0</v>
      </c>
      <c r="AO712" s="10">
        <f t="shared" si="1181"/>
        <v>0</v>
      </c>
      <c r="AP712" s="10">
        <f t="shared" si="1181"/>
        <v>0</v>
      </c>
      <c r="AQ712" s="10">
        <f t="shared" si="1181"/>
        <v>0</v>
      </c>
      <c r="AR712" s="10">
        <f t="shared" si="1181"/>
        <v>0</v>
      </c>
      <c r="AS712" s="10">
        <f t="shared" si="1181"/>
        <v>0</v>
      </c>
      <c r="AT712" s="10">
        <f t="shared" si="1181"/>
        <v>0</v>
      </c>
      <c r="AU712" s="10">
        <f t="shared" si="1181"/>
        <v>0</v>
      </c>
      <c r="AV712" s="10">
        <f t="shared" si="1181"/>
        <v>0</v>
      </c>
      <c r="AW712" s="10">
        <f t="shared" si="1181"/>
        <v>0</v>
      </c>
      <c r="AX712" s="10">
        <f t="shared" si="1181"/>
        <v>0</v>
      </c>
    </row>
    <row r="713" spans="1:50" x14ac:dyDescent="0.2">
      <c r="A713" s="8"/>
      <c r="B713" s="8"/>
      <c r="C713" s="8" t="s">
        <v>33</v>
      </c>
      <c r="D713" s="8"/>
      <c r="E713" s="80"/>
      <c r="F713" s="10">
        <f t="shared" ref="F713:AX713" si="1182">MAX(F702:F709)</f>
        <v>152419</v>
      </c>
      <c r="G713" s="10">
        <f t="shared" si="1182"/>
        <v>52488</v>
      </c>
      <c r="H713" s="10">
        <f t="shared" si="1182"/>
        <v>2.9038827922572779</v>
      </c>
      <c r="I713" s="10">
        <f t="shared" si="1182"/>
        <v>455</v>
      </c>
      <c r="J713" s="10">
        <f t="shared" si="1182"/>
        <v>7161.6</v>
      </c>
      <c r="K713" s="10">
        <f t="shared" si="1182"/>
        <v>620</v>
      </c>
      <c r="L713" s="10">
        <f t="shared" si="1182"/>
        <v>0</v>
      </c>
      <c r="M713" s="10">
        <f t="shared" si="1182"/>
        <v>52488</v>
      </c>
      <c r="N713" s="10">
        <f t="shared" si="1182"/>
        <v>52488</v>
      </c>
      <c r="O713" s="10">
        <f t="shared" si="1182"/>
        <v>52488</v>
      </c>
      <c r="P713" s="10">
        <f t="shared" si="1182"/>
        <v>0</v>
      </c>
      <c r="Q713" s="10">
        <f t="shared" si="1182"/>
        <v>52488</v>
      </c>
      <c r="R713" s="10">
        <f t="shared" si="1182"/>
        <v>0</v>
      </c>
      <c r="S713" s="10">
        <f t="shared" si="1182"/>
        <v>0</v>
      </c>
      <c r="T713" s="10">
        <f t="shared" si="1182"/>
        <v>0</v>
      </c>
      <c r="U713" s="10">
        <f t="shared" si="1182"/>
        <v>0</v>
      </c>
      <c r="V713" s="10">
        <f t="shared" si="1182"/>
        <v>0</v>
      </c>
      <c r="W713" s="10">
        <f t="shared" si="1182"/>
        <v>0</v>
      </c>
      <c r="X713" s="10">
        <f t="shared" si="1182"/>
        <v>0</v>
      </c>
      <c r="Y713" s="10">
        <f t="shared" si="1182"/>
        <v>0</v>
      </c>
      <c r="Z713" s="10">
        <f t="shared" si="1182"/>
        <v>0</v>
      </c>
      <c r="AA713" s="10">
        <f t="shared" si="1182"/>
        <v>0</v>
      </c>
      <c r="AB713" s="10">
        <f t="shared" si="1182"/>
        <v>0</v>
      </c>
      <c r="AC713" s="10">
        <f t="shared" si="1182"/>
        <v>0</v>
      </c>
      <c r="AD713" s="10">
        <f t="shared" si="1182"/>
        <v>0</v>
      </c>
      <c r="AE713" s="10">
        <f t="shared" si="1182"/>
        <v>0</v>
      </c>
      <c r="AF713" s="10">
        <f t="shared" si="1182"/>
        <v>0</v>
      </c>
      <c r="AG713" s="10">
        <f t="shared" si="1182"/>
        <v>0</v>
      </c>
      <c r="AH713" s="10">
        <f t="shared" si="1182"/>
        <v>0</v>
      </c>
      <c r="AI713" s="10">
        <f t="shared" si="1182"/>
        <v>0</v>
      </c>
      <c r="AJ713" s="10">
        <f t="shared" si="1182"/>
        <v>0</v>
      </c>
      <c r="AK713" s="10">
        <f t="shared" si="1182"/>
        <v>0</v>
      </c>
      <c r="AL713" s="10">
        <f t="shared" si="1182"/>
        <v>0</v>
      </c>
      <c r="AM713" s="46">
        <f t="shared" si="1182"/>
        <v>0</v>
      </c>
      <c r="AN713" s="10">
        <f t="shared" si="1182"/>
        <v>0</v>
      </c>
      <c r="AO713" s="10">
        <f t="shared" si="1182"/>
        <v>0</v>
      </c>
      <c r="AP713" s="10">
        <f t="shared" si="1182"/>
        <v>0</v>
      </c>
      <c r="AQ713" s="10">
        <f t="shared" si="1182"/>
        <v>0</v>
      </c>
      <c r="AR713" s="10">
        <f t="shared" si="1182"/>
        <v>0</v>
      </c>
      <c r="AS713" s="10">
        <f t="shared" si="1182"/>
        <v>0</v>
      </c>
      <c r="AT713" s="10">
        <f t="shared" si="1182"/>
        <v>0</v>
      </c>
      <c r="AU713" s="10">
        <f t="shared" si="1182"/>
        <v>0</v>
      </c>
      <c r="AV713" s="10">
        <f t="shared" si="1182"/>
        <v>0</v>
      </c>
      <c r="AW713" s="10">
        <f t="shared" si="1182"/>
        <v>0</v>
      </c>
      <c r="AX713" s="10">
        <f t="shared" si="1182"/>
        <v>0</v>
      </c>
    </row>
    <row r="714" spans="1:50" x14ac:dyDescent="0.2">
      <c r="A714" s="8"/>
      <c r="B714" s="8"/>
      <c r="C714" s="8" t="s">
        <v>34</v>
      </c>
      <c r="D714" s="8"/>
      <c r="E714" s="80"/>
      <c r="F714" s="10">
        <f t="shared" ref="F714:AX714" si="1183">AVERAGE(F702:F709)</f>
        <v>81977.125</v>
      </c>
      <c r="G714" s="10">
        <f t="shared" si="1183"/>
        <v>32268.625</v>
      </c>
      <c r="H714" s="10">
        <f t="shared" si="1183"/>
        <v>2.5175283173258309</v>
      </c>
      <c r="I714" s="10">
        <f t="shared" si="1183"/>
        <v>79.837500000000006</v>
      </c>
      <c r="J714" s="10">
        <f t="shared" si="1183"/>
        <v>3243.3500000000004</v>
      </c>
      <c r="K714" s="10">
        <f t="shared" si="1183"/>
        <v>500.6875</v>
      </c>
      <c r="L714" s="10" t="e">
        <f t="shared" si="1183"/>
        <v>#DIV/0!</v>
      </c>
      <c r="M714" s="10">
        <f t="shared" si="1183"/>
        <v>29595.375</v>
      </c>
      <c r="N714" s="10">
        <f t="shared" si="1183"/>
        <v>28614.875</v>
      </c>
      <c r="O714" s="10">
        <f t="shared" si="1183"/>
        <v>18811.125</v>
      </c>
      <c r="P714" s="10">
        <f t="shared" si="1183"/>
        <v>0</v>
      </c>
      <c r="Q714" s="10">
        <f t="shared" si="1183"/>
        <v>32268.625</v>
      </c>
      <c r="R714" s="10" t="e">
        <f t="shared" si="1183"/>
        <v>#DIV/0!</v>
      </c>
      <c r="S714" s="10">
        <f t="shared" si="1183"/>
        <v>0</v>
      </c>
      <c r="T714" s="10">
        <f t="shared" si="1183"/>
        <v>0</v>
      </c>
      <c r="U714" s="10">
        <f t="shared" si="1183"/>
        <v>0</v>
      </c>
      <c r="V714" s="10">
        <f t="shared" si="1183"/>
        <v>0</v>
      </c>
      <c r="W714" s="10">
        <f t="shared" si="1183"/>
        <v>0</v>
      </c>
      <c r="X714" s="10">
        <f t="shared" si="1183"/>
        <v>0</v>
      </c>
      <c r="Y714" s="10">
        <f t="shared" si="1183"/>
        <v>0</v>
      </c>
      <c r="Z714" s="10">
        <f t="shared" si="1183"/>
        <v>0</v>
      </c>
      <c r="AA714" s="10">
        <f t="shared" si="1183"/>
        <v>0</v>
      </c>
      <c r="AB714" s="10">
        <f t="shared" si="1183"/>
        <v>0</v>
      </c>
      <c r="AC714" s="10">
        <f t="shared" si="1183"/>
        <v>0</v>
      </c>
      <c r="AD714" s="10">
        <f t="shared" si="1183"/>
        <v>0</v>
      </c>
      <c r="AE714" s="10">
        <f t="shared" si="1183"/>
        <v>0</v>
      </c>
      <c r="AF714" s="10">
        <f t="shared" si="1183"/>
        <v>0</v>
      </c>
      <c r="AG714" s="10">
        <f t="shared" si="1183"/>
        <v>0</v>
      </c>
      <c r="AH714" s="10">
        <f t="shared" si="1183"/>
        <v>0</v>
      </c>
      <c r="AI714" s="10">
        <f t="shared" si="1183"/>
        <v>0</v>
      </c>
      <c r="AJ714" s="10">
        <f t="shared" si="1183"/>
        <v>0</v>
      </c>
      <c r="AK714" s="10">
        <f t="shared" si="1183"/>
        <v>0</v>
      </c>
      <c r="AL714" s="10">
        <f t="shared" si="1183"/>
        <v>0</v>
      </c>
      <c r="AM714" s="46">
        <f t="shared" si="1183"/>
        <v>0</v>
      </c>
      <c r="AN714" s="10">
        <f t="shared" si="1183"/>
        <v>0</v>
      </c>
      <c r="AO714" s="10">
        <f t="shared" si="1183"/>
        <v>0</v>
      </c>
      <c r="AP714" s="10">
        <f t="shared" si="1183"/>
        <v>0</v>
      </c>
      <c r="AQ714" s="10">
        <f t="shared" si="1183"/>
        <v>0</v>
      </c>
      <c r="AR714" s="10">
        <f t="shared" si="1183"/>
        <v>0</v>
      </c>
      <c r="AS714" s="10">
        <f t="shared" si="1183"/>
        <v>0</v>
      </c>
      <c r="AT714" s="10">
        <f t="shared" si="1183"/>
        <v>0</v>
      </c>
      <c r="AU714" s="10">
        <f t="shared" si="1183"/>
        <v>0</v>
      </c>
      <c r="AV714" s="10">
        <f t="shared" si="1183"/>
        <v>0</v>
      </c>
      <c r="AW714" s="10">
        <f t="shared" si="1183"/>
        <v>0</v>
      </c>
      <c r="AX714" s="10">
        <f t="shared" si="1183"/>
        <v>0</v>
      </c>
    </row>
    <row r="715" spans="1:50" ht="13.5" thickBot="1" x14ac:dyDescent="0.25">
      <c r="A715" s="16"/>
      <c r="B715" s="16"/>
      <c r="C715" s="16" t="s">
        <v>35</v>
      </c>
      <c r="D715" s="16"/>
      <c r="E715" s="80"/>
      <c r="F715" s="18">
        <f t="shared" ref="F715:AX715" si="1184">MEDIAN(F702:F709)</f>
        <v>78145</v>
      </c>
      <c r="G715" s="18">
        <f t="shared" si="1184"/>
        <v>36511.5</v>
      </c>
      <c r="H715" s="18">
        <f t="shared" si="1184"/>
        <v>2.5493759993016862</v>
      </c>
      <c r="I715" s="18">
        <f t="shared" si="1184"/>
        <v>16.45</v>
      </c>
      <c r="J715" s="18">
        <f t="shared" si="1184"/>
        <v>3425.15</v>
      </c>
      <c r="K715" s="18">
        <f t="shared" si="1184"/>
        <v>493.25</v>
      </c>
      <c r="L715" s="18" t="e">
        <f t="shared" si="1184"/>
        <v>#NUM!</v>
      </c>
      <c r="M715" s="18">
        <f t="shared" si="1184"/>
        <v>32245.5</v>
      </c>
      <c r="N715" s="18">
        <f t="shared" si="1184"/>
        <v>31918</v>
      </c>
      <c r="O715" s="18">
        <f t="shared" si="1184"/>
        <v>13243</v>
      </c>
      <c r="P715" s="18">
        <f t="shared" si="1184"/>
        <v>0</v>
      </c>
      <c r="Q715" s="18">
        <f t="shared" si="1184"/>
        <v>36511.5</v>
      </c>
      <c r="R715" s="18" t="e">
        <f t="shared" si="1184"/>
        <v>#NUM!</v>
      </c>
      <c r="S715" s="18">
        <f t="shared" si="1184"/>
        <v>0</v>
      </c>
      <c r="T715" s="18">
        <f t="shared" si="1184"/>
        <v>0</v>
      </c>
      <c r="U715" s="18">
        <f t="shared" si="1184"/>
        <v>0</v>
      </c>
      <c r="V715" s="18">
        <f t="shared" si="1184"/>
        <v>0</v>
      </c>
      <c r="W715" s="18">
        <f t="shared" si="1184"/>
        <v>0</v>
      </c>
      <c r="X715" s="18">
        <f t="shared" si="1184"/>
        <v>0</v>
      </c>
      <c r="Y715" s="18">
        <f t="shared" si="1184"/>
        <v>0</v>
      </c>
      <c r="Z715" s="18">
        <f t="shared" si="1184"/>
        <v>0</v>
      </c>
      <c r="AA715" s="18">
        <f t="shared" si="1184"/>
        <v>0</v>
      </c>
      <c r="AB715" s="18">
        <f t="shared" si="1184"/>
        <v>0</v>
      </c>
      <c r="AC715" s="18">
        <f t="shared" si="1184"/>
        <v>0</v>
      </c>
      <c r="AD715" s="18">
        <f t="shared" si="1184"/>
        <v>0</v>
      </c>
      <c r="AE715" s="18">
        <f t="shared" si="1184"/>
        <v>0</v>
      </c>
      <c r="AF715" s="18">
        <f t="shared" si="1184"/>
        <v>0</v>
      </c>
      <c r="AG715" s="18">
        <f t="shared" si="1184"/>
        <v>0</v>
      </c>
      <c r="AH715" s="18">
        <f t="shared" si="1184"/>
        <v>0</v>
      </c>
      <c r="AI715" s="18">
        <f t="shared" si="1184"/>
        <v>0</v>
      </c>
      <c r="AJ715" s="18">
        <f t="shared" si="1184"/>
        <v>0</v>
      </c>
      <c r="AK715" s="18">
        <f t="shared" si="1184"/>
        <v>0</v>
      </c>
      <c r="AL715" s="18">
        <f t="shared" si="1184"/>
        <v>0</v>
      </c>
      <c r="AM715" s="47">
        <f t="shared" si="1184"/>
        <v>0</v>
      </c>
      <c r="AN715" s="18">
        <f t="shared" si="1184"/>
        <v>0</v>
      </c>
      <c r="AO715" s="18">
        <f t="shared" si="1184"/>
        <v>0</v>
      </c>
      <c r="AP715" s="18">
        <f t="shared" si="1184"/>
        <v>0</v>
      </c>
      <c r="AQ715" s="18">
        <f t="shared" si="1184"/>
        <v>0</v>
      </c>
      <c r="AR715" s="18">
        <f t="shared" si="1184"/>
        <v>0</v>
      </c>
      <c r="AS715" s="18">
        <f t="shared" si="1184"/>
        <v>0</v>
      </c>
      <c r="AT715" s="18">
        <f t="shared" si="1184"/>
        <v>0</v>
      </c>
      <c r="AU715" s="18">
        <f t="shared" si="1184"/>
        <v>0</v>
      </c>
      <c r="AV715" s="18">
        <f t="shared" si="1184"/>
        <v>0</v>
      </c>
      <c r="AW715" s="18">
        <f t="shared" si="1184"/>
        <v>0</v>
      </c>
      <c r="AX715" s="18">
        <f t="shared" si="1184"/>
        <v>0</v>
      </c>
    </row>
    <row r="716" spans="1:50" ht="13.5" thickTop="1" x14ac:dyDescent="0.2">
      <c r="B716"/>
      <c r="C716" s="5"/>
      <c r="D716" s="5"/>
    </row>
    <row r="717" spans="1:50" ht="13.5" thickBot="1" x14ac:dyDescent="0.25">
      <c r="A717" s="25"/>
      <c r="B717" s="25"/>
      <c r="C717" s="27" t="s">
        <v>19</v>
      </c>
      <c r="D717" s="27"/>
    </row>
    <row r="718" spans="1:50" ht="13.5" thickTop="1" x14ac:dyDescent="0.2">
      <c r="A718" s="8">
        <v>10750</v>
      </c>
      <c r="B718" s="89" t="str">
        <f t="shared" ref="B718:B726" si="1185">VLOOKUP($A718,$A$5:$K$132,2,FALSE)</f>
        <v>Blacktown</v>
      </c>
      <c r="C718" s="9" t="str">
        <f t="shared" ref="C718:C726" si="1186">VLOOKUP($A718,$A$5:$K$133,3,FALSE)</f>
        <v>WSROC</v>
      </c>
      <c r="D718" s="51" t="str">
        <f t="shared" ref="D718:D726" si="1187">VLOOKUP($A718,$A$5:$K$133,4,FALSE)</f>
        <v>S</v>
      </c>
      <c r="E718" s="10">
        <f t="shared" ref="E718:E726" si="1188">VLOOKUP($A718,$A$5:$AX$132,5,FALSE)</f>
        <v>0</v>
      </c>
      <c r="F718" s="10">
        <f t="shared" ref="F718:F726" si="1189">VLOOKUP($A718,$A$5:$AX$132,6,FALSE)</f>
        <v>382831</v>
      </c>
      <c r="G718" s="10">
        <f t="shared" ref="G718:G726" si="1190">VLOOKUP($A718,$A$5:$AX$132,7,FALSE)</f>
        <v>144115</v>
      </c>
      <c r="H718" s="10">
        <f t="shared" ref="H718:H726" si="1191">VLOOKUP($A718,$A$5:$AX$132,8,FALSE)</f>
        <v>2.6564271588661832</v>
      </c>
      <c r="I718" s="10">
        <f t="shared" ref="I718:I726" si="1192">VLOOKUP($A718,$A$5:$AX$132,9,FALSE)</f>
        <v>240</v>
      </c>
      <c r="J718" s="10">
        <f t="shared" ref="J718:J726" si="1193">VLOOKUP($A718,$A$5:$AX$132,10,FALSE)</f>
        <v>1594.8</v>
      </c>
      <c r="K718" s="10">
        <f t="shared" ref="K718:K726" si="1194">VLOOKUP($A718,$A$5:$AX$132,11,FALSE)</f>
        <v>589</v>
      </c>
      <c r="L718" s="10" t="str">
        <f t="shared" ref="L718:L726" si="1195">VLOOKUP($A718,$A$4:$AX$132,12,FALSE)</f>
        <v>Y</v>
      </c>
      <c r="M718" s="10">
        <f t="shared" ref="M718:M726" si="1196">VLOOKUP($A718,$A$4:$AX$132,13,FALSE)</f>
        <v>140322</v>
      </c>
      <c r="N718" s="10">
        <f t="shared" ref="N718:N726" si="1197">VLOOKUP($A718,$A$4:$AX$132,14,FALSE)</f>
        <v>128870</v>
      </c>
      <c r="O718" s="10">
        <f t="shared" ref="O718:O726" si="1198">VLOOKUP($A718,$A$4:$AX$132,15,FALSE)</f>
        <v>0</v>
      </c>
      <c r="P718" s="10">
        <f t="shared" ref="P718:P726" si="1199">VLOOKUP($A718,$A$4:$AX$132,16,FALSE)</f>
        <v>0</v>
      </c>
      <c r="Q718" s="10">
        <f t="shared" ref="Q718:Q726" si="1200">VLOOKUP($A718,$A$4:$AX$132,17,FALSE)</f>
        <v>144115</v>
      </c>
      <c r="R718" s="10" t="str">
        <f t="shared" ref="R718:R726" si="1201">VLOOKUP($A718,$A$4:$AX$132,18,FALSE)</f>
        <v>Yes</v>
      </c>
      <c r="S718" s="10" t="str">
        <f t="shared" ref="S718:S726" si="1202">VLOOKUP($A718,$A$4:$AX$132,19,FALSE)</f>
        <v>Chemical CleanOut - Station St, Rooty Hill NSW</v>
      </c>
      <c r="T718" s="10">
        <f t="shared" ref="T718:T726" si="1203">VLOOKUP($A718,$A$4:$AX$132,20,FALSE)</f>
        <v>0</v>
      </c>
      <c r="U718" s="10">
        <f t="shared" ref="U718:U726" si="1204">VLOOKUP($A718,$A$4:$AX$132,21,FALSE)</f>
        <v>0</v>
      </c>
      <c r="V718" s="10">
        <f t="shared" ref="V718:V726" si="1205">VLOOKUP($A718,$A$4:$AX$132,22,FALSE)</f>
        <v>0</v>
      </c>
      <c r="W718" s="10">
        <f t="shared" ref="W718:W726" si="1206">VLOOKUP($A718,$A$4:$AX$132,23,FALSE)</f>
        <v>0</v>
      </c>
      <c r="X718" s="10">
        <f t="shared" ref="X718:X726" si="1207">VLOOKUP($A718,$A$4:$AX$132,24,FALSE)</f>
        <v>0</v>
      </c>
      <c r="Y718" s="10">
        <f t="shared" ref="Y718:Y726" si="1208">VLOOKUP($A718,$A$4:$AX$132,25,FALSE)</f>
        <v>0</v>
      </c>
      <c r="Z718" s="10">
        <f t="shared" ref="Z718:Z726" si="1209">VLOOKUP($A718,$A$4:$AX$132,26,FALSE)</f>
        <v>0</v>
      </c>
      <c r="AA718" s="10">
        <f t="shared" ref="AA718:AA726" si="1210">VLOOKUP($A718,$A$4:$AX$132,27,FALSE)</f>
        <v>0</v>
      </c>
      <c r="AB718" s="10">
        <f t="shared" ref="AB718:AB726" si="1211">VLOOKUP($A718,$A$4:$AX$132,28,FALSE)</f>
        <v>0</v>
      </c>
      <c r="AC718" s="10">
        <f t="shared" ref="AC718:AC726" si="1212">VLOOKUP($A718,$A$4:$AX$132,29,FALSE)</f>
        <v>0</v>
      </c>
      <c r="AD718" s="10">
        <f t="shared" ref="AD718:AD726" si="1213">VLOOKUP($A718,$A$4:$AX$132,30,FALSE)</f>
        <v>0</v>
      </c>
      <c r="AE718" s="10">
        <f t="shared" ref="AE718:AE726" si="1214">VLOOKUP($A718,$A$4:$AX$132,31,FALSE)</f>
        <v>0</v>
      </c>
      <c r="AF718" s="10">
        <f t="shared" ref="AF718:AF726" si="1215">VLOOKUP($A718,$A$4:$AX$132,32,FALSE)</f>
        <v>0</v>
      </c>
      <c r="AG718" s="10">
        <f t="shared" ref="AG718:AG726" si="1216">VLOOKUP($A718,$A$4:$AX$132,33,FALSE)</f>
        <v>0</v>
      </c>
      <c r="AH718" s="10">
        <f t="shared" ref="AH718:AH726" si="1217">VLOOKUP($A718,$A$4:$AX$132,34,FALSE)</f>
        <v>0</v>
      </c>
      <c r="AI718" s="10">
        <f t="shared" ref="AI718:AI726" si="1218">VLOOKUP($A718,$A$4:$AX$132,35,FALSE)</f>
        <v>0</v>
      </c>
      <c r="AJ718" s="10">
        <f t="shared" ref="AJ718:AJ726" si="1219">VLOOKUP($A718,$A$4:$AX$132,36,FALSE)</f>
        <v>0</v>
      </c>
      <c r="AK718" s="10">
        <f t="shared" ref="AK718:AK726" si="1220">VLOOKUP($A718,$A$4:$AX$132,37,FALSE)</f>
        <v>0</v>
      </c>
      <c r="AL718" s="10">
        <f t="shared" ref="AL718:AL726" si="1221">VLOOKUP($A718,$A$4:$AX$132,38,FALSE)</f>
        <v>0</v>
      </c>
      <c r="AM718" s="10">
        <f t="shared" ref="AM718:AM726" si="1222">VLOOKUP($A718,$A$4:$AX$132,39,FALSE)</f>
        <v>0</v>
      </c>
      <c r="AN718" s="46">
        <f t="shared" ref="AN718:AN726" si="1223">VLOOKUP($A718,$A$4:$AX$132,40,FALSE)</f>
        <v>0</v>
      </c>
      <c r="AO718" s="10">
        <f t="shared" ref="AO718:AO726" si="1224">VLOOKUP($A718,$A$4:$AX$132,41,FALSE)</f>
        <v>0</v>
      </c>
      <c r="AP718" s="10">
        <f t="shared" ref="AP718:AP726" si="1225">VLOOKUP($A718,$A$4:$AX$132,42,FALSE)</f>
        <v>0</v>
      </c>
      <c r="AQ718" s="10">
        <f t="shared" ref="AQ718:AQ726" si="1226">VLOOKUP($A718,$A$4:$AX$132,43,FALSE)</f>
        <v>0</v>
      </c>
      <c r="AR718" s="10">
        <f t="shared" ref="AR718:AR726" si="1227">VLOOKUP($A718,$A$4:$AX$132,44,FALSE)</f>
        <v>0</v>
      </c>
      <c r="AS718" s="10">
        <f t="shared" ref="AS718:AS726" si="1228">VLOOKUP($A718,$A$4:$AX$132,45,FALSE)</f>
        <v>0</v>
      </c>
      <c r="AT718" s="10">
        <f t="shared" ref="AT718:AT726" si="1229">VLOOKUP($A718,$A$4:$AX$132,46,FALSE)</f>
        <v>0</v>
      </c>
      <c r="AU718" s="10">
        <f t="shared" ref="AU718:AU726" si="1230">VLOOKUP($A718,$A$4:$AX$132,47,FALSE)</f>
        <v>0</v>
      </c>
      <c r="AV718" s="10">
        <f t="shared" ref="AV718:AV726" si="1231">VLOOKUP($A718,$A$4:$AX$132,48,FALSE)</f>
        <v>0</v>
      </c>
      <c r="AW718" s="10">
        <f t="shared" ref="AW718:AW726" si="1232">VLOOKUP($A718,$A$4:$AX$132,49,FALSE)</f>
        <v>0</v>
      </c>
      <c r="AX718" s="10">
        <f t="shared" ref="AX718:AX726" si="1233">VLOOKUP($A718,$A$4:$AX$132,50,FALSE)</f>
        <v>0</v>
      </c>
    </row>
    <row r="719" spans="1:50" x14ac:dyDescent="0.2">
      <c r="A719" s="8">
        <v>10900</v>
      </c>
      <c r="B719" s="89" t="str">
        <f t="shared" si="1185"/>
        <v>Blue Mountains</v>
      </c>
      <c r="C719" s="9" t="str">
        <f t="shared" si="1186"/>
        <v>WSROC</v>
      </c>
      <c r="D719" s="51" t="str">
        <f t="shared" si="1187"/>
        <v>R</v>
      </c>
      <c r="E719" s="10">
        <f t="shared" si="1188"/>
        <v>0</v>
      </c>
      <c r="F719" s="10">
        <f t="shared" si="1189"/>
        <v>79195</v>
      </c>
      <c r="G719" s="10">
        <f t="shared" si="1190"/>
        <v>38668</v>
      </c>
      <c r="H719" s="10">
        <f t="shared" si="1191"/>
        <v>2.0480759284162615</v>
      </c>
      <c r="I719" s="10">
        <f t="shared" si="1192"/>
        <v>1431.1</v>
      </c>
      <c r="J719" s="10">
        <f t="shared" si="1193"/>
        <v>55.3</v>
      </c>
      <c r="K719" s="10">
        <f t="shared" si="1194"/>
        <v>439</v>
      </c>
      <c r="L719" s="10" t="str">
        <f t="shared" si="1195"/>
        <v>Y</v>
      </c>
      <c r="M719" s="10">
        <f t="shared" si="1196"/>
        <v>33684</v>
      </c>
      <c r="N719" s="10">
        <f t="shared" si="1197"/>
        <v>31953</v>
      </c>
      <c r="O719" s="10">
        <f t="shared" si="1198"/>
        <v>33533</v>
      </c>
      <c r="P719" s="10">
        <f t="shared" si="1199"/>
        <v>0</v>
      </c>
      <c r="Q719" s="10">
        <f t="shared" si="1200"/>
        <v>38668</v>
      </c>
      <c r="R719" s="10" t="str">
        <f t="shared" si="1201"/>
        <v>Yes</v>
      </c>
      <c r="S719" s="10" t="str">
        <f t="shared" si="1202"/>
        <v>Blaxland Waste Management Facility</v>
      </c>
      <c r="T719" s="10" t="str">
        <f t="shared" si="1203"/>
        <v>Katoomba Waste Management Facility</v>
      </c>
      <c r="U719" s="10">
        <f t="shared" si="1204"/>
        <v>0</v>
      </c>
      <c r="V719" s="10">
        <f t="shared" si="1205"/>
        <v>0</v>
      </c>
      <c r="W719" s="10">
        <f t="shared" si="1206"/>
        <v>0</v>
      </c>
      <c r="X719" s="10">
        <f t="shared" si="1207"/>
        <v>0</v>
      </c>
      <c r="Y719" s="10">
        <f t="shared" si="1208"/>
        <v>0</v>
      </c>
      <c r="Z719" s="10">
        <f t="shared" si="1209"/>
        <v>0</v>
      </c>
      <c r="AA719" s="10">
        <f t="shared" si="1210"/>
        <v>0</v>
      </c>
      <c r="AB719" s="10">
        <f t="shared" si="1211"/>
        <v>0</v>
      </c>
      <c r="AC719" s="10">
        <f t="shared" si="1212"/>
        <v>0</v>
      </c>
      <c r="AD719" s="10">
        <f t="shared" si="1213"/>
        <v>0</v>
      </c>
      <c r="AE719" s="10">
        <f t="shared" si="1214"/>
        <v>0</v>
      </c>
      <c r="AF719" s="10">
        <f t="shared" si="1215"/>
        <v>0</v>
      </c>
      <c r="AG719" s="10">
        <f t="shared" si="1216"/>
        <v>0</v>
      </c>
      <c r="AH719" s="10">
        <f t="shared" si="1217"/>
        <v>0</v>
      </c>
      <c r="AI719" s="10">
        <f t="shared" si="1218"/>
        <v>0</v>
      </c>
      <c r="AJ719" s="10">
        <f t="shared" si="1219"/>
        <v>0</v>
      </c>
      <c r="AK719" s="10">
        <f t="shared" si="1220"/>
        <v>0</v>
      </c>
      <c r="AL719" s="10">
        <f t="shared" si="1221"/>
        <v>0</v>
      </c>
      <c r="AM719" s="10">
        <f t="shared" si="1222"/>
        <v>0</v>
      </c>
      <c r="AN719" s="46">
        <f t="shared" si="1223"/>
        <v>0</v>
      </c>
      <c r="AO719" s="10">
        <f t="shared" si="1224"/>
        <v>0</v>
      </c>
      <c r="AP719" s="10">
        <f t="shared" si="1225"/>
        <v>0</v>
      </c>
      <c r="AQ719" s="10">
        <f t="shared" si="1226"/>
        <v>0</v>
      </c>
      <c r="AR719" s="10">
        <f t="shared" si="1227"/>
        <v>0</v>
      </c>
      <c r="AS719" s="10">
        <f t="shared" si="1228"/>
        <v>0</v>
      </c>
      <c r="AT719" s="10">
        <f t="shared" si="1229"/>
        <v>0</v>
      </c>
      <c r="AU719" s="10">
        <f t="shared" si="1230"/>
        <v>0</v>
      </c>
      <c r="AV719" s="10">
        <f t="shared" si="1231"/>
        <v>0</v>
      </c>
      <c r="AW719" s="10">
        <f t="shared" si="1232"/>
        <v>0</v>
      </c>
      <c r="AX719" s="10">
        <f t="shared" si="1233"/>
        <v>0</v>
      </c>
    </row>
    <row r="720" spans="1:50" x14ac:dyDescent="0.2">
      <c r="A720" s="8">
        <v>12380</v>
      </c>
      <c r="B720" s="89" t="str">
        <f t="shared" si="1185"/>
        <v>Cumberland</v>
      </c>
      <c r="C720" s="9" t="str">
        <f t="shared" si="1186"/>
        <v>WSROC</v>
      </c>
      <c r="D720" s="51" t="str">
        <f t="shared" si="1187"/>
        <v>S</v>
      </c>
      <c r="E720" s="10">
        <f t="shared" si="1188"/>
        <v>0</v>
      </c>
      <c r="F720" s="10">
        <f t="shared" si="1189"/>
        <v>242674</v>
      </c>
      <c r="G720" s="10">
        <f t="shared" si="1190"/>
        <v>76450</v>
      </c>
      <c r="H720" s="10">
        <f t="shared" si="1191"/>
        <v>3.1742838456507521</v>
      </c>
      <c r="I720" s="10">
        <f t="shared" si="1192"/>
        <v>71.599999999999994</v>
      </c>
      <c r="J720" s="10">
        <f t="shared" si="1193"/>
        <v>3391.6</v>
      </c>
      <c r="K720" s="10">
        <f t="shared" si="1194"/>
        <v>500</v>
      </c>
      <c r="L720" s="10" t="str">
        <f t="shared" si="1195"/>
        <v>Y</v>
      </c>
      <c r="M720" s="10">
        <f t="shared" si="1196"/>
        <v>75365</v>
      </c>
      <c r="N720" s="10">
        <f t="shared" si="1197"/>
        <v>75365</v>
      </c>
      <c r="O720" s="10">
        <f t="shared" si="1198"/>
        <v>33219</v>
      </c>
      <c r="P720" s="10">
        <f t="shared" si="1199"/>
        <v>0</v>
      </c>
      <c r="Q720" s="10">
        <f t="shared" si="1200"/>
        <v>76450</v>
      </c>
      <c r="R720" s="10" t="str">
        <f t="shared" si="1201"/>
        <v>Yes</v>
      </c>
      <c r="S720" s="10">
        <f t="shared" si="1202"/>
        <v>0</v>
      </c>
      <c r="T720" s="10">
        <f t="shared" si="1203"/>
        <v>0</v>
      </c>
      <c r="U720" s="10">
        <f t="shared" si="1204"/>
        <v>0</v>
      </c>
      <c r="V720" s="10">
        <f t="shared" si="1205"/>
        <v>0</v>
      </c>
      <c r="W720" s="10">
        <f t="shared" si="1206"/>
        <v>0</v>
      </c>
      <c r="X720" s="10">
        <f t="shared" si="1207"/>
        <v>0</v>
      </c>
      <c r="Y720" s="10">
        <f t="shared" si="1208"/>
        <v>0</v>
      </c>
      <c r="Z720" s="10">
        <f t="shared" si="1209"/>
        <v>0</v>
      </c>
      <c r="AA720" s="10">
        <f t="shared" si="1210"/>
        <v>0</v>
      </c>
      <c r="AB720" s="10">
        <f t="shared" si="1211"/>
        <v>0</v>
      </c>
      <c r="AC720" s="10">
        <f t="shared" si="1212"/>
        <v>0</v>
      </c>
      <c r="AD720" s="10">
        <f t="shared" si="1213"/>
        <v>0</v>
      </c>
      <c r="AE720" s="10">
        <f t="shared" si="1214"/>
        <v>0</v>
      </c>
      <c r="AF720" s="10">
        <f t="shared" si="1215"/>
        <v>0</v>
      </c>
      <c r="AG720" s="10">
        <f t="shared" si="1216"/>
        <v>0</v>
      </c>
      <c r="AH720" s="10">
        <f t="shared" si="1217"/>
        <v>0</v>
      </c>
      <c r="AI720" s="10">
        <f t="shared" si="1218"/>
        <v>0</v>
      </c>
      <c r="AJ720" s="10">
        <f t="shared" si="1219"/>
        <v>0</v>
      </c>
      <c r="AK720" s="10">
        <f t="shared" si="1220"/>
        <v>0</v>
      </c>
      <c r="AL720" s="10">
        <f t="shared" si="1221"/>
        <v>0</v>
      </c>
      <c r="AM720" s="10">
        <f t="shared" si="1222"/>
        <v>0</v>
      </c>
      <c r="AN720" s="46">
        <f t="shared" si="1223"/>
        <v>0</v>
      </c>
      <c r="AO720" s="10">
        <f t="shared" si="1224"/>
        <v>0</v>
      </c>
      <c r="AP720" s="10">
        <f t="shared" si="1225"/>
        <v>0</v>
      </c>
      <c r="AQ720" s="10">
        <f t="shared" si="1226"/>
        <v>0</v>
      </c>
      <c r="AR720" s="10">
        <f t="shared" si="1227"/>
        <v>0</v>
      </c>
      <c r="AS720" s="10">
        <f t="shared" si="1228"/>
        <v>0</v>
      </c>
      <c r="AT720" s="10">
        <f t="shared" si="1229"/>
        <v>0</v>
      </c>
      <c r="AU720" s="10">
        <f t="shared" si="1230"/>
        <v>0</v>
      </c>
      <c r="AV720" s="10">
        <f t="shared" si="1231"/>
        <v>0</v>
      </c>
      <c r="AW720" s="10">
        <f t="shared" si="1232"/>
        <v>0</v>
      </c>
      <c r="AX720" s="10">
        <f t="shared" si="1233"/>
        <v>0</v>
      </c>
    </row>
    <row r="721" spans="1:50" x14ac:dyDescent="0.2">
      <c r="A721" s="8">
        <v>12850</v>
      </c>
      <c r="B721" s="89" t="str">
        <f t="shared" si="1185"/>
        <v>Fairfield</v>
      </c>
      <c r="C721" s="9" t="str">
        <f t="shared" si="1186"/>
        <v>WSROC</v>
      </c>
      <c r="D721" s="51" t="str">
        <f t="shared" si="1187"/>
        <v>S</v>
      </c>
      <c r="E721" s="10">
        <f t="shared" si="1188"/>
        <v>0</v>
      </c>
      <c r="F721" s="10">
        <f t="shared" si="1189"/>
        <v>210825</v>
      </c>
      <c r="G721" s="10">
        <f t="shared" si="1190"/>
        <v>61956</v>
      </c>
      <c r="H721" s="10">
        <f t="shared" si="1191"/>
        <v>3.4028181289947703</v>
      </c>
      <c r="I721" s="10">
        <f t="shared" si="1192"/>
        <v>101.5</v>
      </c>
      <c r="J721" s="10">
        <f t="shared" si="1193"/>
        <v>2077</v>
      </c>
      <c r="K721" s="10">
        <f t="shared" si="1194"/>
        <v>495</v>
      </c>
      <c r="L721" s="10" t="str">
        <f t="shared" si="1195"/>
        <v>Y</v>
      </c>
      <c r="M721" s="10">
        <f t="shared" si="1196"/>
        <v>57762</v>
      </c>
      <c r="N721" s="10">
        <f t="shared" si="1197"/>
        <v>58304</v>
      </c>
      <c r="O721" s="10">
        <f t="shared" si="1198"/>
        <v>0</v>
      </c>
      <c r="P721" s="10">
        <f t="shared" si="1199"/>
        <v>0</v>
      </c>
      <c r="Q721" s="10">
        <f t="shared" si="1200"/>
        <v>61956</v>
      </c>
      <c r="R721" s="10" t="str">
        <f t="shared" si="1201"/>
        <v>Yes</v>
      </c>
      <c r="S721" s="10" t="str">
        <f t="shared" si="1202"/>
        <v>Recycling Drop Off Centre</v>
      </c>
      <c r="T721" s="10">
        <f t="shared" si="1203"/>
        <v>0</v>
      </c>
      <c r="U721" s="10">
        <f t="shared" si="1204"/>
        <v>0</v>
      </c>
      <c r="V721" s="10">
        <f t="shared" si="1205"/>
        <v>0</v>
      </c>
      <c r="W721" s="10">
        <f t="shared" si="1206"/>
        <v>0</v>
      </c>
      <c r="X721" s="10">
        <f t="shared" si="1207"/>
        <v>0</v>
      </c>
      <c r="Y721" s="10">
        <f t="shared" si="1208"/>
        <v>0</v>
      </c>
      <c r="Z721" s="10">
        <f t="shared" si="1209"/>
        <v>0</v>
      </c>
      <c r="AA721" s="10">
        <f t="shared" si="1210"/>
        <v>0</v>
      </c>
      <c r="AB721" s="10">
        <f t="shared" si="1211"/>
        <v>0</v>
      </c>
      <c r="AC721" s="10">
        <f t="shared" si="1212"/>
        <v>0</v>
      </c>
      <c r="AD721" s="10">
        <f t="shared" si="1213"/>
        <v>0</v>
      </c>
      <c r="AE721" s="10">
        <f t="shared" si="1214"/>
        <v>0</v>
      </c>
      <c r="AF721" s="10">
        <f t="shared" si="1215"/>
        <v>0</v>
      </c>
      <c r="AG721" s="10">
        <f t="shared" si="1216"/>
        <v>0</v>
      </c>
      <c r="AH721" s="10">
        <f t="shared" si="1217"/>
        <v>0</v>
      </c>
      <c r="AI721" s="10">
        <f t="shared" si="1218"/>
        <v>0</v>
      </c>
      <c r="AJ721" s="10">
        <f t="shared" si="1219"/>
        <v>0</v>
      </c>
      <c r="AK721" s="10">
        <f t="shared" si="1220"/>
        <v>0</v>
      </c>
      <c r="AL721" s="10">
        <f t="shared" si="1221"/>
        <v>0</v>
      </c>
      <c r="AM721" s="10">
        <f t="shared" si="1222"/>
        <v>0</v>
      </c>
      <c r="AN721" s="46">
        <f t="shared" si="1223"/>
        <v>0</v>
      </c>
      <c r="AO721" s="10">
        <f t="shared" si="1224"/>
        <v>0</v>
      </c>
      <c r="AP721" s="10">
        <f t="shared" si="1225"/>
        <v>0</v>
      </c>
      <c r="AQ721" s="10">
        <f t="shared" si="1226"/>
        <v>0</v>
      </c>
      <c r="AR721" s="10">
        <f t="shared" si="1227"/>
        <v>0</v>
      </c>
      <c r="AS721" s="10">
        <f t="shared" si="1228"/>
        <v>0</v>
      </c>
      <c r="AT721" s="10">
        <f t="shared" si="1229"/>
        <v>0</v>
      </c>
      <c r="AU721" s="10">
        <f t="shared" si="1230"/>
        <v>0</v>
      </c>
      <c r="AV721" s="10">
        <f t="shared" si="1231"/>
        <v>0</v>
      </c>
      <c r="AW721" s="10">
        <f t="shared" si="1232"/>
        <v>0</v>
      </c>
      <c r="AX721" s="10">
        <f t="shared" si="1233"/>
        <v>0</v>
      </c>
    </row>
    <row r="722" spans="1:50" x14ac:dyDescent="0.2">
      <c r="A722" s="8">
        <v>13800</v>
      </c>
      <c r="B722" s="89" t="str">
        <f t="shared" si="1185"/>
        <v>Hawkesbury</v>
      </c>
      <c r="C722" s="9" t="str">
        <f t="shared" si="1186"/>
        <v>WSROC</v>
      </c>
      <c r="D722" s="51" t="str">
        <f t="shared" si="1187"/>
        <v>E</v>
      </c>
      <c r="E722" s="10">
        <f t="shared" si="1188"/>
        <v>0</v>
      </c>
      <c r="F722" s="10">
        <f t="shared" si="1189"/>
        <v>67749</v>
      </c>
      <c r="G722" s="10">
        <f t="shared" si="1190"/>
        <v>24843</v>
      </c>
      <c r="H722" s="10">
        <f t="shared" si="1191"/>
        <v>2.7270861007124743</v>
      </c>
      <c r="I722" s="10">
        <f t="shared" si="1192"/>
        <v>2775.1</v>
      </c>
      <c r="J722" s="10">
        <f t="shared" si="1193"/>
        <v>24.4</v>
      </c>
      <c r="K722" s="10">
        <f t="shared" si="1194"/>
        <v>681</v>
      </c>
      <c r="L722" s="10" t="str">
        <f t="shared" si="1195"/>
        <v>Y</v>
      </c>
      <c r="M722" s="10">
        <f t="shared" si="1196"/>
        <v>23816</v>
      </c>
      <c r="N722" s="10">
        <f t="shared" si="1197"/>
        <v>23702</v>
      </c>
      <c r="O722" s="10">
        <f t="shared" si="1198"/>
        <v>13987</v>
      </c>
      <c r="P722" s="10">
        <f t="shared" si="1199"/>
        <v>0</v>
      </c>
      <c r="Q722" s="10">
        <f t="shared" si="1200"/>
        <v>24843</v>
      </c>
      <c r="R722" s="10" t="str">
        <f t="shared" si="1201"/>
        <v>Yes</v>
      </c>
      <c r="S722" s="10" t="str">
        <f t="shared" si="1202"/>
        <v>Hawkesbury City Waste Management Facility, 1 The Driftway, South Windsor</v>
      </c>
      <c r="T722" s="10">
        <f t="shared" si="1203"/>
        <v>0</v>
      </c>
      <c r="U722" s="10">
        <f t="shared" si="1204"/>
        <v>0</v>
      </c>
      <c r="V722" s="10">
        <f t="shared" si="1205"/>
        <v>0</v>
      </c>
      <c r="W722" s="10">
        <f t="shared" si="1206"/>
        <v>0</v>
      </c>
      <c r="X722" s="10">
        <f t="shared" si="1207"/>
        <v>0</v>
      </c>
      <c r="Y722" s="10">
        <f t="shared" si="1208"/>
        <v>0</v>
      </c>
      <c r="Z722" s="10">
        <f t="shared" si="1209"/>
        <v>0</v>
      </c>
      <c r="AA722" s="10">
        <f t="shared" si="1210"/>
        <v>0</v>
      </c>
      <c r="AB722" s="10">
        <f t="shared" si="1211"/>
        <v>0</v>
      </c>
      <c r="AC722" s="10">
        <f t="shared" si="1212"/>
        <v>0</v>
      </c>
      <c r="AD722" s="10">
        <f t="shared" si="1213"/>
        <v>0</v>
      </c>
      <c r="AE722" s="10">
        <f t="shared" si="1214"/>
        <v>0</v>
      </c>
      <c r="AF722" s="10">
        <f t="shared" si="1215"/>
        <v>0</v>
      </c>
      <c r="AG722" s="10">
        <f t="shared" si="1216"/>
        <v>0</v>
      </c>
      <c r="AH722" s="10">
        <f t="shared" si="1217"/>
        <v>0</v>
      </c>
      <c r="AI722" s="10">
        <f t="shared" si="1218"/>
        <v>0</v>
      </c>
      <c r="AJ722" s="10">
        <f t="shared" si="1219"/>
        <v>0</v>
      </c>
      <c r="AK722" s="10">
        <f t="shared" si="1220"/>
        <v>0</v>
      </c>
      <c r="AL722" s="10">
        <f t="shared" si="1221"/>
        <v>0</v>
      </c>
      <c r="AM722" s="10">
        <f t="shared" si="1222"/>
        <v>0</v>
      </c>
      <c r="AN722" s="46">
        <f t="shared" si="1223"/>
        <v>0</v>
      </c>
      <c r="AO722" s="10">
        <f t="shared" si="1224"/>
        <v>0</v>
      </c>
      <c r="AP722" s="10">
        <f t="shared" si="1225"/>
        <v>0</v>
      </c>
      <c r="AQ722" s="10">
        <f t="shared" si="1226"/>
        <v>0</v>
      </c>
      <c r="AR722" s="10">
        <f t="shared" si="1227"/>
        <v>0</v>
      </c>
      <c r="AS722" s="10">
        <f t="shared" si="1228"/>
        <v>0</v>
      </c>
      <c r="AT722" s="10">
        <f t="shared" si="1229"/>
        <v>0</v>
      </c>
      <c r="AU722" s="10">
        <f t="shared" si="1230"/>
        <v>0</v>
      </c>
      <c r="AV722" s="10">
        <f t="shared" si="1231"/>
        <v>0</v>
      </c>
      <c r="AW722" s="10">
        <f t="shared" si="1232"/>
        <v>0</v>
      </c>
      <c r="AX722" s="10">
        <f t="shared" si="1233"/>
        <v>0</v>
      </c>
    </row>
    <row r="723" spans="1:50" x14ac:dyDescent="0.2">
      <c r="A723" s="8">
        <v>14900</v>
      </c>
      <c r="B723" s="89" t="str">
        <f t="shared" si="1185"/>
        <v>Liverpool</v>
      </c>
      <c r="C723" s="9" t="str">
        <f t="shared" si="1186"/>
        <v>WSROC</v>
      </c>
      <c r="D723" s="51" t="str">
        <f t="shared" si="1187"/>
        <v>S</v>
      </c>
      <c r="E723" s="10">
        <f t="shared" si="1188"/>
        <v>0</v>
      </c>
      <c r="F723" s="10">
        <f t="shared" si="1189"/>
        <v>231296</v>
      </c>
      <c r="G723" s="10">
        <f t="shared" si="1190"/>
        <v>75696</v>
      </c>
      <c r="H723" s="10">
        <f t="shared" si="1191"/>
        <v>3.055590784189389</v>
      </c>
      <c r="I723" s="10">
        <f t="shared" si="1192"/>
        <v>305.7</v>
      </c>
      <c r="J723" s="10">
        <f t="shared" si="1193"/>
        <v>756.5</v>
      </c>
      <c r="K723" s="10">
        <f t="shared" si="1194"/>
        <v>468</v>
      </c>
      <c r="L723" s="10" t="str">
        <f t="shared" si="1195"/>
        <v>Y</v>
      </c>
      <c r="M723" s="10">
        <f t="shared" si="1196"/>
        <v>66214</v>
      </c>
      <c r="N723" s="10">
        <f t="shared" si="1197"/>
        <v>66214</v>
      </c>
      <c r="O723" s="10">
        <f t="shared" si="1198"/>
        <v>54564</v>
      </c>
      <c r="P723" s="10">
        <f t="shared" si="1199"/>
        <v>0</v>
      </c>
      <c r="Q723" s="10">
        <f t="shared" si="1200"/>
        <v>75696</v>
      </c>
      <c r="R723" s="10" t="str">
        <f t="shared" si="1201"/>
        <v>Yes</v>
      </c>
      <c r="S723" s="10" t="str">
        <f t="shared" si="1202"/>
        <v>Liverpool Community Recycling Centre</v>
      </c>
      <c r="T723" s="10">
        <f t="shared" si="1203"/>
        <v>0</v>
      </c>
      <c r="U723" s="10">
        <f t="shared" si="1204"/>
        <v>0</v>
      </c>
      <c r="V723" s="10">
        <f t="shared" si="1205"/>
        <v>0</v>
      </c>
      <c r="W723" s="10">
        <f t="shared" si="1206"/>
        <v>0</v>
      </c>
      <c r="X723" s="10">
        <f t="shared" si="1207"/>
        <v>0</v>
      </c>
      <c r="Y723" s="10">
        <f t="shared" si="1208"/>
        <v>0</v>
      </c>
      <c r="Z723" s="10">
        <f t="shared" si="1209"/>
        <v>0</v>
      </c>
      <c r="AA723" s="10">
        <f t="shared" si="1210"/>
        <v>0</v>
      </c>
      <c r="AB723" s="10">
        <f t="shared" si="1211"/>
        <v>0</v>
      </c>
      <c r="AC723" s="10">
        <f t="shared" si="1212"/>
        <v>0</v>
      </c>
      <c r="AD723" s="10">
        <f t="shared" si="1213"/>
        <v>0</v>
      </c>
      <c r="AE723" s="10">
        <f t="shared" si="1214"/>
        <v>0</v>
      </c>
      <c r="AF723" s="10">
        <f t="shared" si="1215"/>
        <v>0</v>
      </c>
      <c r="AG723" s="10">
        <f t="shared" si="1216"/>
        <v>0</v>
      </c>
      <c r="AH723" s="10">
        <f t="shared" si="1217"/>
        <v>0</v>
      </c>
      <c r="AI723" s="10">
        <f t="shared" si="1218"/>
        <v>0</v>
      </c>
      <c r="AJ723" s="10">
        <f t="shared" si="1219"/>
        <v>0</v>
      </c>
      <c r="AK723" s="10">
        <f t="shared" si="1220"/>
        <v>0</v>
      </c>
      <c r="AL723" s="10">
        <f t="shared" si="1221"/>
        <v>0</v>
      </c>
      <c r="AM723" s="10">
        <f t="shared" si="1222"/>
        <v>0</v>
      </c>
      <c r="AN723" s="46">
        <f t="shared" si="1223"/>
        <v>0</v>
      </c>
      <c r="AO723" s="10">
        <f t="shared" si="1224"/>
        <v>0</v>
      </c>
      <c r="AP723" s="10">
        <f t="shared" si="1225"/>
        <v>0</v>
      </c>
      <c r="AQ723" s="10">
        <f t="shared" si="1226"/>
        <v>0</v>
      </c>
      <c r="AR723" s="10">
        <f t="shared" si="1227"/>
        <v>0</v>
      </c>
      <c r="AS723" s="10">
        <f t="shared" si="1228"/>
        <v>0</v>
      </c>
      <c r="AT723" s="10">
        <f t="shared" si="1229"/>
        <v>0</v>
      </c>
      <c r="AU723" s="10">
        <f t="shared" si="1230"/>
        <v>0</v>
      </c>
      <c r="AV723" s="10">
        <f t="shared" si="1231"/>
        <v>0</v>
      </c>
      <c r="AW723" s="10">
        <f t="shared" si="1232"/>
        <v>0</v>
      </c>
      <c r="AX723" s="10">
        <f t="shared" si="1233"/>
        <v>0</v>
      </c>
    </row>
    <row r="724" spans="1:50" x14ac:dyDescent="0.2">
      <c r="A724" s="8">
        <v>16260</v>
      </c>
      <c r="B724" s="89" t="str">
        <f t="shared" si="1185"/>
        <v>Parramatta</v>
      </c>
      <c r="C724" s="9" t="str">
        <f t="shared" si="1186"/>
        <v>WSROC</v>
      </c>
      <c r="D724" s="51" t="str">
        <f t="shared" si="1187"/>
        <v>S</v>
      </c>
      <c r="E724" s="10">
        <f t="shared" si="1188"/>
        <v>0</v>
      </c>
      <c r="F724" s="10">
        <f t="shared" si="1189"/>
        <v>260296</v>
      </c>
      <c r="G724" s="10">
        <f t="shared" si="1190"/>
        <v>99188</v>
      </c>
      <c r="H724" s="10">
        <f t="shared" si="1191"/>
        <v>2.6242690648062266</v>
      </c>
      <c r="I724" s="10">
        <f t="shared" si="1192"/>
        <v>83.8</v>
      </c>
      <c r="J724" s="10">
        <f t="shared" si="1193"/>
        <v>3105.1</v>
      </c>
      <c r="K724" s="10">
        <f t="shared" si="1194"/>
        <v>440.8</v>
      </c>
      <c r="L724" s="10" t="str">
        <f t="shared" si="1195"/>
        <v>Y</v>
      </c>
      <c r="M724" s="10">
        <f t="shared" si="1196"/>
        <v>87570</v>
      </c>
      <c r="N724" s="10">
        <f t="shared" si="1197"/>
        <v>87551</v>
      </c>
      <c r="O724" s="10">
        <f t="shared" si="1198"/>
        <v>87492</v>
      </c>
      <c r="P724" s="10">
        <f t="shared" si="1199"/>
        <v>0</v>
      </c>
      <c r="Q724" s="10">
        <f t="shared" si="1200"/>
        <v>99188</v>
      </c>
      <c r="R724" s="10" t="str">
        <f t="shared" si="1201"/>
        <v>Yes</v>
      </c>
      <c r="S724" s="10">
        <f t="shared" si="1202"/>
        <v>0</v>
      </c>
      <c r="T724" s="10">
        <f t="shared" si="1203"/>
        <v>0</v>
      </c>
      <c r="U724" s="10">
        <f t="shared" si="1204"/>
        <v>0</v>
      </c>
      <c r="V724" s="10">
        <f t="shared" si="1205"/>
        <v>0</v>
      </c>
      <c r="W724" s="10">
        <f t="shared" si="1206"/>
        <v>0</v>
      </c>
      <c r="X724" s="10">
        <f t="shared" si="1207"/>
        <v>0</v>
      </c>
      <c r="Y724" s="10">
        <f t="shared" si="1208"/>
        <v>0</v>
      </c>
      <c r="Z724" s="10">
        <f t="shared" si="1209"/>
        <v>0</v>
      </c>
      <c r="AA724" s="10">
        <f t="shared" si="1210"/>
        <v>0</v>
      </c>
      <c r="AB724" s="10">
        <f t="shared" si="1211"/>
        <v>0</v>
      </c>
      <c r="AC724" s="10">
        <f t="shared" si="1212"/>
        <v>0</v>
      </c>
      <c r="AD724" s="10">
        <f t="shared" si="1213"/>
        <v>0</v>
      </c>
      <c r="AE724" s="10">
        <f t="shared" si="1214"/>
        <v>0</v>
      </c>
      <c r="AF724" s="10">
        <f t="shared" si="1215"/>
        <v>0</v>
      </c>
      <c r="AG724" s="10">
        <f t="shared" si="1216"/>
        <v>0</v>
      </c>
      <c r="AH724" s="10">
        <f t="shared" si="1217"/>
        <v>0</v>
      </c>
      <c r="AI724" s="10">
        <f t="shared" si="1218"/>
        <v>0</v>
      </c>
      <c r="AJ724" s="10">
        <f t="shared" si="1219"/>
        <v>0</v>
      </c>
      <c r="AK724" s="10">
        <f t="shared" si="1220"/>
        <v>0</v>
      </c>
      <c r="AL724" s="10">
        <f t="shared" si="1221"/>
        <v>0</v>
      </c>
      <c r="AM724" s="10">
        <f t="shared" si="1222"/>
        <v>0</v>
      </c>
      <c r="AN724" s="46">
        <f t="shared" si="1223"/>
        <v>0</v>
      </c>
      <c r="AO724" s="10">
        <f t="shared" si="1224"/>
        <v>0</v>
      </c>
      <c r="AP724" s="10">
        <f t="shared" si="1225"/>
        <v>0</v>
      </c>
      <c r="AQ724" s="10">
        <f t="shared" si="1226"/>
        <v>0</v>
      </c>
      <c r="AR724" s="10">
        <f t="shared" si="1227"/>
        <v>0</v>
      </c>
      <c r="AS724" s="10">
        <f t="shared" si="1228"/>
        <v>0</v>
      </c>
      <c r="AT724" s="10">
        <f t="shared" si="1229"/>
        <v>0</v>
      </c>
      <c r="AU724" s="10">
        <f t="shared" si="1230"/>
        <v>0</v>
      </c>
      <c r="AV724" s="10">
        <f t="shared" si="1231"/>
        <v>0</v>
      </c>
      <c r="AW724" s="10">
        <f t="shared" si="1232"/>
        <v>0</v>
      </c>
      <c r="AX724" s="10">
        <f t="shared" si="1233"/>
        <v>0</v>
      </c>
    </row>
    <row r="725" spans="1:50" x14ac:dyDescent="0.2">
      <c r="A725" s="8">
        <v>16350</v>
      </c>
      <c r="B725" s="89" t="str">
        <f t="shared" si="1185"/>
        <v>Penrith</v>
      </c>
      <c r="C725" s="9" t="str">
        <f t="shared" si="1186"/>
        <v>WSROC</v>
      </c>
      <c r="D725" s="51" t="str">
        <f t="shared" si="1187"/>
        <v>S</v>
      </c>
      <c r="E725" s="10">
        <f t="shared" si="1188"/>
        <v>0</v>
      </c>
      <c r="F725" s="10">
        <f t="shared" si="1189"/>
        <v>216282</v>
      </c>
      <c r="G725" s="10">
        <f t="shared" si="1190"/>
        <v>81203</v>
      </c>
      <c r="H725" s="10">
        <f t="shared" si="1191"/>
        <v>2.6634730243956506</v>
      </c>
      <c r="I725" s="10">
        <f t="shared" si="1192"/>
        <v>404.7</v>
      </c>
      <c r="J725" s="10">
        <f t="shared" si="1193"/>
        <v>534.4</v>
      </c>
      <c r="K725" s="10">
        <f t="shared" si="1194"/>
        <v>399</v>
      </c>
      <c r="L725" s="10" t="str">
        <f t="shared" si="1195"/>
        <v>Y</v>
      </c>
      <c r="M725" s="10">
        <f t="shared" si="1196"/>
        <v>80006</v>
      </c>
      <c r="N725" s="10">
        <f t="shared" si="1197"/>
        <v>80006</v>
      </c>
      <c r="O725" s="10">
        <f t="shared" si="1198"/>
        <v>0</v>
      </c>
      <c r="P725" s="10">
        <f t="shared" si="1199"/>
        <v>66673</v>
      </c>
      <c r="Q725" s="10">
        <f t="shared" si="1200"/>
        <v>81203</v>
      </c>
      <c r="R725" s="10" t="str">
        <f t="shared" si="1201"/>
        <v>No</v>
      </c>
      <c r="S725" s="10" t="str">
        <f t="shared" si="1202"/>
        <v>Penrith Library 601 High Street, Penrith</v>
      </c>
      <c r="T725" s="10" t="str">
        <f t="shared" si="1203"/>
        <v>St Marys Library 207 - 209 Queen Street, St Marys</v>
      </c>
      <c r="U725" s="10" t="str">
        <f t="shared" si="1204"/>
        <v>St Clair Library Shop 12, St Clair Shopping Centre, Bennett Road and Endeavour Avenue</v>
      </c>
      <c r="V725" s="10">
        <f t="shared" si="1205"/>
        <v>0</v>
      </c>
      <c r="W725" s="10">
        <f t="shared" si="1206"/>
        <v>0</v>
      </c>
      <c r="X725" s="10">
        <f t="shared" si="1207"/>
        <v>0</v>
      </c>
      <c r="Y725" s="10">
        <f t="shared" si="1208"/>
        <v>0</v>
      </c>
      <c r="Z725" s="10">
        <f t="shared" si="1209"/>
        <v>0</v>
      </c>
      <c r="AA725" s="10">
        <f t="shared" si="1210"/>
        <v>0</v>
      </c>
      <c r="AB725" s="10">
        <f t="shared" si="1211"/>
        <v>0</v>
      </c>
      <c r="AC725" s="10">
        <f t="shared" si="1212"/>
        <v>0</v>
      </c>
      <c r="AD725" s="10">
        <f t="shared" si="1213"/>
        <v>0</v>
      </c>
      <c r="AE725" s="10">
        <f t="shared" si="1214"/>
        <v>0</v>
      </c>
      <c r="AF725" s="10">
        <f t="shared" si="1215"/>
        <v>0</v>
      </c>
      <c r="AG725" s="10">
        <f t="shared" si="1216"/>
        <v>0</v>
      </c>
      <c r="AH725" s="10">
        <f t="shared" si="1217"/>
        <v>0</v>
      </c>
      <c r="AI725" s="10">
        <f t="shared" si="1218"/>
        <v>0</v>
      </c>
      <c r="AJ725" s="10">
        <f t="shared" si="1219"/>
        <v>0</v>
      </c>
      <c r="AK725" s="10">
        <f t="shared" si="1220"/>
        <v>0</v>
      </c>
      <c r="AL725" s="10">
        <f t="shared" si="1221"/>
        <v>0</v>
      </c>
      <c r="AM725" s="10">
        <f t="shared" si="1222"/>
        <v>0</v>
      </c>
      <c r="AN725" s="46">
        <f t="shared" si="1223"/>
        <v>0</v>
      </c>
      <c r="AO725" s="10">
        <f t="shared" si="1224"/>
        <v>0</v>
      </c>
      <c r="AP725" s="10">
        <f t="shared" si="1225"/>
        <v>0</v>
      </c>
      <c r="AQ725" s="10">
        <f t="shared" si="1226"/>
        <v>0</v>
      </c>
      <c r="AR725" s="10">
        <f t="shared" si="1227"/>
        <v>0</v>
      </c>
      <c r="AS725" s="10">
        <f t="shared" si="1228"/>
        <v>0</v>
      </c>
      <c r="AT725" s="10">
        <f t="shared" si="1229"/>
        <v>0</v>
      </c>
      <c r="AU725" s="10">
        <f t="shared" si="1230"/>
        <v>0</v>
      </c>
      <c r="AV725" s="10">
        <f t="shared" si="1231"/>
        <v>0</v>
      </c>
      <c r="AW725" s="10">
        <f t="shared" si="1232"/>
        <v>0</v>
      </c>
      <c r="AX725" s="10">
        <f t="shared" si="1233"/>
        <v>0</v>
      </c>
    </row>
    <row r="726" spans="1:50" ht="13.5" thickBot="1" x14ac:dyDescent="0.25">
      <c r="A726" s="8">
        <v>17420</v>
      </c>
      <c r="B726" s="89" t="str">
        <f t="shared" si="1185"/>
        <v>The Hills Shire</v>
      </c>
      <c r="C726" s="9" t="str">
        <f t="shared" si="1186"/>
        <v>WSROC</v>
      </c>
      <c r="D726" s="51" t="str">
        <f t="shared" si="1187"/>
        <v>S</v>
      </c>
      <c r="E726" s="10">
        <f t="shared" si="1188"/>
        <v>0</v>
      </c>
      <c r="F726" s="10">
        <f t="shared" si="1189"/>
        <v>183791</v>
      </c>
      <c r="G726" s="10">
        <f t="shared" si="1190"/>
        <v>68021</v>
      </c>
      <c r="H726" s="10">
        <f t="shared" si="1191"/>
        <v>2.7019743902618307</v>
      </c>
      <c r="I726" s="10">
        <f t="shared" si="1192"/>
        <v>386.2</v>
      </c>
      <c r="J726" s="10">
        <f t="shared" si="1193"/>
        <v>475.9</v>
      </c>
      <c r="K726" s="10">
        <f t="shared" si="1194"/>
        <v>425</v>
      </c>
      <c r="L726" s="10" t="str">
        <f t="shared" si="1195"/>
        <v>Y</v>
      </c>
      <c r="M726" s="10">
        <f t="shared" si="1196"/>
        <v>55868</v>
      </c>
      <c r="N726" s="10">
        <f t="shared" si="1197"/>
        <v>54620</v>
      </c>
      <c r="O726" s="10">
        <f t="shared" si="1198"/>
        <v>54862</v>
      </c>
      <c r="P726" s="10">
        <f t="shared" si="1199"/>
        <v>0</v>
      </c>
      <c r="Q726" s="10">
        <f t="shared" si="1200"/>
        <v>68021</v>
      </c>
      <c r="R726" s="10" t="str">
        <f t="shared" si="1201"/>
        <v>Yes</v>
      </c>
      <c r="S726" s="10">
        <f t="shared" si="1202"/>
        <v>0</v>
      </c>
      <c r="T726" s="10">
        <f t="shared" si="1203"/>
        <v>0</v>
      </c>
      <c r="U726" s="10">
        <f t="shared" si="1204"/>
        <v>0</v>
      </c>
      <c r="V726" s="10">
        <f t="shared" si="1205"/>
        <v>0</v>
      </c>
      <c r="W726" s="10">
        <f t="shared" si="1206"/>
        <v>0</v>
      </c>
      <c r="X726" s="10">
        <f t="shared" si="1207"/>
        <v>0</v>
      </c>
      <c r="Y726" s="10">
        <f t="shared" si="1208"/>
        <v>0</v>
      </c>
      <c r="Z726" s="10">
        <f t="shared" si="1209"/>
        <v>0</v>
      </c>
      <c r="AA726" s="10">
        <f t="shared" si="1210"/>
        <v>0</v>
      </c>
      <c r="AB726" s="10">
        <f t="shared" si="1211"/>
        <v>0</v>
      </c>
      <c r="AC726" s="10">
        <f t="shared" si="1212"/>
        <v>0</v>
      </c>
      <c r="AD726" s="10">
        <f t="shared" si="1213"/>
        <v>0</v>
      </c>
      <c r="AE726" s="10">
        <f t="shared" si="1214"/>
        <v>0</v>
      </c>
      <c r="AF726" s="10">
        <f t="shared" si="1215"/>
        <v>0</v>
      </c>
      <c r="AG726" s="10">
        <f t="shared" si="1216"/>
        <v>0</v>
      </c>
      <c r="AH726" s="10">
        <f t="shared" si="1217"/>
        <v>0</v>
      </c>
      <c r="AI726" s="10">
        <f t="shared" si="1218"/>
        <v>0</v>
      </c>
      <c r="AJ726" s="10">
        <f t="shared" si="1219"/>
        <v>0</v>
      </c>
      <c r="AK726" s="10">
        <f t="shared" si="1220"/>
        <v>0</v>
      </c>
      <c r="AL726" s="10">
        <f t="shared" si="1221"/>
        <v>0</v>
      </c>
      <c r="AM726" s="10">
        <f t="shared" si="1222"/>
        <v>0</v>
      </c>
      <c r="AN726" s="46">
        <f t="shared" si="1223"/>
        <v>0</v>
      </c>
      <c r="AO726" s="10">
        <f t="shared" si="1224"/>
        <v>0</v>
      </c>
      <c r="AP726" s="10">
        <f t="shared" si="1225"/>
        <v>0</v>
      </c>
      <c r="AQ726" s="10">
        <f t="shared" si="1226"/>
        <v>0</v>
      </c>
      <c r="AR726" s="10">
        <f t="shared" si="1227"/>
        <v>0</v>
      </c>
      <c r="AS726" s="10">
        <f t="shared" si="1228"/>
        <v>0</v>
      </c>
      <c r="AT726" s="10">
        <f t="shared" si="1229"/>
        <v>0</v>
      </c>
      <c r="AU726" s="10">
        <f t="shared" si="1230"/>
        <v>0</v>
      </c>
      <c r="AV726" s="10">
        <f t="shared" si="1231"/>
        <v>0</v>
      </c>
      <c r="AW726" s="10">
        <f t="shared" si="1232"/>
        <v>0</v>
      </c>
      <c r="AX726" s="10">
        <f t="shared" si="1233"/>
        <v>0</v>
      </c>
    </row>
    <row r="727" spans="1:50" ht="13.5" thickTop="1" x14ac:dyDescent="0.2">
      <c r="A727" s="11"/>
      <c r="B727" s="11"/>
      <c r="C727" s="11" t="s">
        <v>30</v>
      </c>
      <c r="D727" s="11"/>
      <c r="E727" s="12"/>
      <c r="F727" s="13">
        <f t="shared" ref="F727:AX727" si="1234">COUNTIF(F718:F726,"&gt;0")</f>
        <v>9</v>
      </c>
      <c r="G727" s="13">
        <f t="shared" si="1234"/>
        <v>9</v>
      </c>
      <c r="H727" s="13">
        <f t="shared" si="1234"/>
        <v>9</v>
      </c>
      <c r="I727" s="13">
        <f t="shared" si="1234"/>
        <v>9</v>
      </c>
      <c r="J727" s="13">
        <f t="shared" si="1234"/>
        <v>9</v>
      </c>
      <c r="K727" s="13">
        <f t="shared" si="1234"/>
        <v>9</v>
      </c>
      <c r="L727" s="13">
        <f t="shared" si="1234"/>
        <v>0</v>
      </c>
      <c r="M727" s="13">
        <f t="shared" si="1234"/>
        <v>9</v>
      </c>
      <c r="N727" s="13">
        <f t="shared" si="1234"/>
        <v>9</v>
      </c>
      <c r="O727" s="13">
        <f t="shared" si="1234"/>
        <v>6</v>
      </c>
      <c r="P727" s="13">
        <f t="shared" si="1234"/>
        <v>1</v>
      </c>
      <c r="Q727" s="13">
        <f t="shared" si="1234"/>
        <v>9</v>
      </c>
      <c r="R727" s="13">
        <f t="shared" si="1234"/>
        <v>0</v>
      </c>
      <c r="S727" s="13">
        <f t="shared" si="1234"/>
        <v>0</v>
      </c>
      <c r="T727" s="13">
        <f t="shared" si="1234"/>
        <v>0</v>
      </c>
      <c r="U727" s="13">
        <f t="shared" si="1234"/>
        <v>0</v>
      </c>
      <c r="V727" s="13">
        <f t="shared" si="1234"/>
        <v>0</v>
      </c>
      <c r="W727" s="13">
        <f t="shared" si="1234"/>
        <v>0</v>
      </c>
      <c r="X727" s="13">
        <f t="shared" si="1234"/>
        <v>0</v>
      </c>
      <c r="Y727" s="13">
        <f t="shared" si="1234"/>
        <v>0</v>
      </c>
      <c r="Z727" s="13">
        <f t="shared" si="1234"/>
        <v>0</v>
      </c>
      <c r="AA727" s="13">
        <f t="shared" si="1234"/>
        <v>0</v>
      </c>
      <c r="AB727" s="13">
        <f t="shared" si="1234"/>
        <v>0</v>
      </c>
      <c r="AC727" s="13">
        <f t="shared" si="1234"/>
        <v>0</v>
      </c>
      <c r="AD727" s="13">
        <f t="shared" si="1234"/>
        <v>0</v>
      </c>
      <c r="AE727" s="13">
        <f t="shared" si="1234"/>
        <v>0</v>
      </c>
      <c r="AF727" s="13">
        <f t="shared" si="1234"/>
        <v>0</v>
      </c>
      <c r="AG727" s="13">
        <f t="shared" si="1234"/>
        <v>0</v>
      </c>
      <c r="AH727" s="13">
        <f t="shared" si="1234"/>
        <v>0</v>
      </c>
      <c r="AI727" s="13">
        <f t="shared" si="1234"/>
        <v>0</v>
      </c>
      <c r="AJ727" s="13">
        <f t="shared" si="1234"/>
        <v>0</v>
      </c>
      <c r="AK727" s="13">
        <f t="shared" si="1234"/>
        <v>0</v>
      </c>
      <c r="AL727" s="13">
        <f t="shared" si="1234"/>
        <v>0</v>
      </c>
      <c r="AM727" s="44">
        <f t="shared" si="1234"/>
        <v>0</v>
      </c>
      <c r="AN727" s="13">
        <f t="shared" si="1234"/>
        <v>0</v>
      </c>
      <c r="AO727" s="13">
        <f t="shared" si="1234"/>
        <v>0</v>
      </c>
      <c r="AP727" s="13">
        <f t="shared" si="1234"/>
        <v>0</v>
      </c>
      <c r="AQ727" s="13">
        <f t="shared" si="1234"/>
        <v>0</v>
      </c>
      <c r="AR727" s="13">
        <f t="shared" si="1234"/>
        <v>0</v>
      </c>
      <c r="AS727" s="13">
        <f t="shared" si="1234"/>
        <v>0</v>
      </c>
      <c r="AT727" s="13">
        <f t="shared" si="1234"/>
        <v>0</v>
      </c>
      <c r="AU727" s="13">
        <f t="shared" si="1234"/>
        <v>0</v>
      </c>
      <c r="AV727" s="13">
        <f t="shared" si="1234"/>
        <v>0</v>
      </c>
      <c r="AW727" s="13">
        <f t="shared" si="1234"/>
        <v>0</v>
      </c>
      <c r="AX727" s="13">
        <f t="shared" si="1234"/>
        <v>0</v>
      </c>
    </row>
    <row r="728" spans="1:50" x14ac:dyDescent="0.2">
      <c r="A728" s="8"/>
      <c r="B728" s="8"/>
      <c r="C728" s="8" t="s">
        <v>31</v>
      </c>
      <c r="D728" s="8"/>
      <c r="E728" s="80"/>
      <c r="F728" s="15">
        <f>SUM(F718:F726)</f>
        <v>1874939</v>
      </c>
      <c r="G728" s="15">
        <f t="shared" ref="G728:AX728" si="1235">SUM(G718:G726)</f>
        <v>670140</v>
      </c>
      <c r="H728" s="110">
        <f>F728/G728</f>
        <v>2.7978317963410633</v>
      </c>
      <c r="I728" s="15">
        <f t="shared" si="1235"/>
        <v>5799.6999999999989</v>
      </c>
      <c r="J728" s="15">
        <f t="shared" si="1235"/>
        <v>12014.999999999998</v>
      </c>
      <c r="K728" s="15">
        <f t="shared" si="1235"/>
        <v>4436.8</v>
      </c>
      <c r="L728" s="15">
        <f t="shared" si="1235"/>
        <v>0</v>
      </c>
      <c r="M728" s="15">
        <f t="shared" si="1235"/>
        <v>620607</v>
      </c>
      <c r="N728" s="15">
        <f t="shared" si="1235"/>
        <v>606585</v>
      </c>
      <c r="O728" s="15">
        <f t="shared" si="1235"/>
        <v>277657</v>
      </c>
      <c r="P728" s="15">
        <f t="shared" si="1235"/>
        <v>66673</v>
      </c>
      <c r="Q728" s="15">
        <f t="shared" si="1235"/>
        <v>670140</v>
      </c>
      <c r="R728" s="15">
        <f t="shared" si="1235"/>
        <v>0</v>
      </c>
      <c r="S728" s="15">
        <f t="shared" si="1235"/>
        <v>0</v>
      </c>
      <c r="T728" s="15">
        <f t="shared" si="1235"/>
        <v>0</v>
      </c>
      <c r="U728" s="15">
        <f t="shared" si="1235"/>
        <v>0</v>
      </c>
      <c r="V728" s="15">
        <f t="shared" si="1235"/>
        <v>0</v>
      </c>
      <c r="W728" s="15">
        <f t="shared" si="1235"/>
        <v>0</v>
      </c>
      <c r="X728" s="15">
        <f t="shared" si="1235"/>
        <v>0</v>
      </c>
      <c r="Y728" s="15">
        <f t="shared" si="1235"/>
        <v>0</v>
      </c>
      <c r="Z728" s="15">
        <f t="shared" si="1235"/>
        <v>0</v>
      </c>
      <c r="AA728" s="15">
        <f t="shared" si="1235"/>
        <v>0</v>
      </c>
      <c r="AB728" s="15">
        <f t="shared" si="1235"/>
        <v>0</v>
      </c>
      <c r="AC728" s="15">
        <f t="shared" si="1235"/>
        <v>0</v>
      </c>
      <c r="AD728" s="15">
        <f t="shared" si="1235"/>
        <v>0</v>
      </c>
      <c r="AE728" s="15">
        <f t="shared" si="1235"/>
        <v>0</v>
      </c>
      <c r="AF728" s="15">
        <f t="shared" si="1235"/>
        <v>0</v>
      </c>
      <c r="AG728" s="15">
        <f t="shared" si="1235"/>
        <v>0</v>
      </c>
      <c r="AH728" s="15">
        <f t="shared" si="1235"/>
        <v>0</v>
      </c>
      <c r="AI728" s="15">
        <f t="shared" si="1235"/>
        <v>0</v>
      </c>
      <c r="AJ728" s="15">
        <f t="shared" si="1235"/>
        <v>0</v>
      </c>
      <c r="AK728" s="15">
        <f t="shared" si="1235"/>
        <v>0</v>
      </c>
      <c r="AL728" s="15">
        <f t="shared" si="1235"/>
        <v>0</v>
      </c>
      <c r="AM728" s="45">
        <f t="shared" si="1235"/>
        <v>0</v>
      </c>
      <c r="AN728" s="15">
        <f t="shared" si="1235"/>
        <v>0</v>
      </c>
      <c r="AO728" s="15">
        <f t="shared" si="1235"/>
        <v>0</v>
      </c>
      <c r="AP728" s="15">
        <f t="shared" si="1235"/>
        <v>0</v>
      </c>
      <c r="AQ728" s="15">
        <f t="shared" si="1235"/>
        <v>0</v>
      </c>
      <c r="AR728" s="15">
        <f t="shared" si="1235"/>
        <v>0</v>
      </c>
      <c r="AS728" s="15">
        <f t="shared" si="1235"/>
        <v>0</v>
      </c>
      <c r="AT728" s="15">
        <f t="shared" si="1235"/>
        <v>0</v>
      </c>
      <c r="AU728" s="15">
        <f t="shared" si="1235"/>
        <v>0</v>
      </c>
      <c r="AV728" s="15">
        <f t="shared" si="1235"/>
        <v>0</v>
      </c>
      <c r="AW728" s="15">
        <f t="shared" si="1235"/>
        <v>0</v>
      </c>
      <c r="AX728" s="15">
        <f t="shared" si="1235"/>
        <v>0</v>
      </c>
    </row>
    <row r="729" spans="1:50" x14ac:dyDescent="0.2">
      <c r="A729" s="8"/>
      <c r="B729" s="8"/>
      <c r="C729" s="8" t="s">
        <v>32</v>
      </c>
      <c r="D729" s="8"/>
      <c r="E729" s="80"/>
      <c r="F729" s="10">
        <f t="shared" ref="F729:AX729" si="1236">MIN(F718:F726)</f>
        <v>67749</v>
      </c>
      <c r="G729" s="10">
        <f t="shared" si="1236"/>
        <v>24843</v>
      </c>
      <c r="H729" s="10">
        <f t="shared" si="1236"/>
        <v>2.0480759284162615</v>
      </c>
      <c r="I729" s="10">
        <f t="shared" si="1236"/>
        <v>71.599999999999994</v>
      </c>
      <c r="J729" s="10">
        <f t="shared" si="1236"/>
        <v>24.4</v>
      </c>
      <c r="K729" s="10">
        <f t="shared" si="1236"/>
        <v>399</v>
      </c>
      <c r="L729" s="10">
        <f t="shared" si="1236"/>
        <v>0</v>
      </c>
      <c r="M729" s="10">
        <f t="shared" si="1236"/>
        <v>23816</v>
      </c>
      <c r="N729" s="10">
        <f t="shared" si="1236"/>
        <v>23702</v>
      </c>
      <c r="O729" s="10">
        <f t="shared" si="1236"/>
        <v>0</v>
      </c>
      <c r="P729" s="10">
        <f t="shared" si="1236"/>
        <v>0</v>
      </c>
      <c r="Q729" s="10">
        <f t="shared" si="1236"/>
        <v>24843</v>
      </c>
      <c r="R729" s="10">
        <f t="shared" si="1236"/>
        <v>0</v>
      </c>
      <c r="S729" s="10">
        <f t="shared" si="1236"/>
        <v>0</v>
      </c>
      <c r="T729" s="10">
        <f t="shared" si="1236"/>
        <v>0</v>
      </c>
      <c r="U729" s="10">
        <f t="shared" si="1236"/>
        <v>0</v>
      </c>
      <c r="V729" s="10">
        <f t="shared" si="1236"/>
        <v>0</v>
      </c>
      <c r="W729" s="10">
        <f t="shared" si="1236"/>
        <v>0</v>
      </c>
      <c r="X729" s="10">
        <f t="shared" si="1236"/>
        <v>0</v>
      </c>
      <c r="Y729" s="10">
        <f t="shared" si="1236"/>
        <v>0</v>
      </c>
      <c r="Z729" s="10">
        <f t="shared" si="1236"/>
        <v>0</v>
      </c>
      <c r="AA729" s="10">
        <f t="shared" si="1236"/>
        <v>0</v>
      </c>
      <c r="AB729" s="10">
        <f t="shared" si="1236"/>
        <v>0</v>
      </c>
      <c r="AC729" s="10">
        <f t="shared" si="1236"/>
        <v>0</v>
      </c>
      <c r="AD729" s="10">
        <f t="shared" si="1236"/>
        <v>0</v>
      </c>
      <c r="AE729" s="10">
        <f t="shared" si="1236"/>
        <v>0</v>
      </c>
      <c r="AF729" s="10">
        <f t="shared" si="1236"/>
        <v>0</v>
      </c>
      <c r="AG729" s="10">
        <f t="shared" si="1236"/>
        <v>0</v>
      </c>
      <c r="AH729" s="10">
        <f t="shared" si="1236"/>
        <v>0</v>
      </c>
      <c r="AI729" s="10">
        <f t="shared" si="1236"/>
        <v>0</v>
      </c>
      <c r="AJ729" s="10">
        <f t="shared" si="1236"/>
        <v>0</v>
      </c>
      <c r="AK729" s="10">
        <f t="shared" si="1236"/>
        <v>0</v>
      </c>
      <c r="AL729" s="10">
        <f t="shared" si="1236"/>
        <v>0</v>
      </c>
      <c r="AM729" s="46">
        <f t="shared" si="1236"/>
        <v>0</v>
      </c>
      <c r="AN729" s="10">
        <f t="shared" si="1236"/>
        <v>0</v>
      </c>
      <c r="AO729" s="10">
        <f t="shared" si="1236"/>
        <v>0</v>
      </c>
      <c r="AP729" s="10">
        <f t="shared" si="1236"/>
        <v>0</v>
      </c>
      <c r="AQ729" s="10">
        <f t="shared" si="1236"/>
        <v>0</v>
      </c>
      <c r="AR729" s="10">
        <f t="shared" si="1236"/>
        <v>0</v>
      </c>
      <c r="AS729" s="10">
        <f t="shared" si="1236"/>
        <v>0</v>
      </c>
      <c r="AT729" s="10">
        <f t="shared" si="1236"/>
        <v>0</v>
      </c>
      <c r="AU729" s="10">
        <f t="shared" si="1236"/>
        <v>0</v>
      </c>
      <c r="AV729" s="10">
        <f t="shared" si="1236"/>
        <v>0</v>
      </c>
      <c r="AW729" s="10">
        <f t="shared" si="1236"/>
        <v>0</v>
      </c>
      <c r="AX729" s="10">
        <f t="shared" si="1236"/>
        <v>0</v>
      </c>
    </row>
    <row r="730" spans="1:50" x14ac:dyDescent="0.2">
      <c r="A730" s="8"/>
      <c r="B730" s="8"/>
      <c r="C730" s="8" t="s">
        <v>33</v>
      </c>
      <c r="D730" s="8"/>
      <c r="E730" s="80"/>
      <c r="F730" s="10">
        <f t="shared" ref="F730:AX730" si="1237">MAX(F718:F726)</f>
        <v>382831</v>
      </c>
      <c r="G730" s="10">
        <f t="shared" si="1237"/>
        <v>144115</v>
      </c>
      <c r="H730" s="10">
        <f t="shared" si="1237"/>
        <v>3.4028181289947703</v>
      </c>
      <c r="I730" s="10">
        <f t="shared" si="1237"/>
        <v>2775.1</v>
      </c>
      <c r="J730" s="10">
        <f t="shared" si="1237"/>
        <v>3391.6</v>
      </c>
      <c r="K730" s="10">
        <f t="shared" si="1237"/>
        <v>681</v>
      </c>
      <c r="L730" s="10">
        <f t="shared" si="1237"/>
        <v>0</v>
      </c>
      <c r="M730" s="10">
        <f t="shared" si="1237"/>
        <v>140322</v>
      </c>
      <c r="N730" s="10">
        <f t="shared" si="1237"/>
        <v>128870</v>
      </c>
      <c r="O730" s="10">
        <f t="shared" si="1237"/>
        <v>87492</v>
      </c>
      <c r="P730" s="10">
        <f t="shared" si="1237"/>
        <v>66673</v>
      </c>
      <c r="Q730" s="10">
        <f t="shared" si="1237"/>
        <v>144115</v>
      </c>
      <c r="R730" s="10">
        <f t="shared" si="1237"/>
        <v>0</v>
      </c>
      <c r="S730" s="10">
        <f t="shared" si="1237"/>
        <v>0</v>
      </c>
      <c r="T730" s="10">
        <f t="shared" si="1237"/>
        <v>0</v>
      </c>
      <c r="U730" s="10">
        <f t="shared" si="1237"/>
        <v>0</v>
      </c>
      <c r="V730" s="10">
        <f t="shared" si="1237"/>
        <v>0</v>
      </c>
      <c r="W730" s="10">
        <f t="shared" si="1237"/>
        <v>0</v>
      </c>
      <c r="X730" s="10">
        <f t="shared" si="1237"/>
        <v>0</v>
      </c>
      <c r="Y730" s="10">
        <f t="shared" si="1237"/>
        <v>0</v>
      </c>
      <c r="Z730" s="10">
        <f t="shared" si="1237"/>
        <v>0</v>
      </c>
      <c r="AA730" s="10">
        <f t="shared" si="1237"/>
        <v>0</v>
      </c>
      <c r="AB730" s="10">
        <f t="shared" si="1237"/>
        <v>0</v>
      </c>
      <c r="AC730" s="10">
        <f t="shared" si="1237"/>
        <v>0</v>
      </c>
      <c r="AD730" s="10">
        <f t="shared" si="1237"/>
        <v>0</v>
      </c>
      <c r="AE730" s="10">
        <f t="shared" si="1237"/>
        <v>0</v>
      </c>
      <c r="AF730" s="10">
        <f t="shared" si="1237"/>
        <v>0</v>
      </c>
      <c r="AG730" s="10">
        <f t="shared" si="1237"/>
        <v>0</v>
      </c>
      <c r="AH730" s="10">
        <f t="shared" si="1237"/>
        <v>0</v>
      </c>
      <c r="AI730" s="10">
        <f t="shared" si="1237"/>
        <v>0</v>
      </c>
      <c r="AJ730" s="10">
        <f t="shared" si="1237"/>
        <v>0</v>
      </c>
      <c r="AK730" s="10">
        <f t="shared" si="1237"/>
        <v>0</v>
      </c>
      <c r="AL730" s="10">
        <f t="shared" si="1237"/>
        <v>0</v>
      </c>
      <c r="AM730" s="46">
        <f t="shared" si="1237"/>
        <v>0</v>
      </c>
      <c r="AN730" s="10">
        <f t="shared" si="1237"/>
        <v>0</v>
      </c>
      <c r="AO730" s="10">
        <f t="shared" si="1237"/>
        <v>0</v>
      </c>
      <c r="AP730" s="10">
        <f t="shared" si="1237"/>
        <v>0</v>
      </c>
      <c r="AQ730" s="10">
        <f t="shared" si="1237"/>
        <v>0</v>
      </c>
      <c r="AR730" s="10">
        <f t="shared" si="1237"/>
        <v>0</v>
      </c>
      <c r="AS730" s="10">
        <f t="shared" si="1237"/>
        <v>0</v>
      </c>
      <c r="AT730" s="10">
        <f t="shared" si="1237"/>
        <v>0</v>
      </c>
      <c r="AU730" s="10">
        <f t="shared" si="1237"/>
        <v>0</v>
      </c>
      <c r="AV730" s="10">
        <f t="shared" si="1237"/>
        <v>0</v>
      </c>
      <c r="AW730" s="10">
        <f t="shared" si="1237"/>
        <v>0</v>
      </c>
      <c r="AX730" s="10">
        <f t="shared" si="1237"/>
        <v>0</v>
      </c>
    </row>
    <row r="731" spans="1:50" x14ac:dyDescent="0.2">
      <c r="A731" s="8"/>
      <c r="B731" s="8"/>
      <c r="C731" s="8" t="s">
        <v>34</v>
      </c>
      <c r="D731" s="8"/>
      <c r="E731" s="80"/>
      <c r="F731" s="10">
        <f t="shared" ref="F731:AX731" si="1238">AVERAGE(F718:F726)</f>
        <v>208326.55555555556</v>
      </c>
      <c r="G731" s="10">
        <f t="shared" si="1238"/>
        <v>74460</v>
      </c>
      <c r="H731" s="10">
        <f t="shared" si="1238"/>
        <v>2.7837776029215044</v>
      </c>
      <c r="I731" s="10">
        <f t="shared" si="1238"/>
        <v>644.41111111111104</v>
      </c>
      <c r="J731" s="10">
        <f t="shared" si="1238"/>
        <v>1334.9999999999998</v>
      </c>
      <c r="K731" s="10">
        <f t="shared" si="1238"/>
        <v>492.97777777777782</v>
      </c>
      <c r="L731" s="10" t="e">
        <f t="shared" si="1238"/>
        <v>#DIV/0!</v>
      </c>
      <c r="M731" s="10">
        <f t="shared" si="1238"/>
        <v>68956.333333333328</v>
      </c>
      <c r="N731" s="10">
        <f t="shared" si="1238"/>
        <v>67398.333333333328</v>
      </c>
      <c r="O731" s="10">
        <f t="shared" si="1238"/>
        <v>30850.777777777777</v>
      </c>
      <c r="P731" s="10">
        <f t="shared" si="1238"/>
        <v>7408.1111111111113</v>
      </c>
      <c r="Q731" s="10">
        <f t="shared" si="1238"/>
        <v>74460</v>
      </c>
      <c r="R731" s="10" t="e">
        <f t="shared" si="1238"/>
        <v>#DIV/0!</v>
      </c>
      <c r="S731" s="10">
        <f t="shared" si="1238"/>
        <v>0</v>
      </c>
      <c r="T731" s="10">
        <f t="shared" si="1238"/>
        <v>0</v>
      </c>
      <c r="U731" s="10">
        <f t="shared" si="1238"/>
        <v>0</v>
      </c>
      <c r="V731" s="10">
        <f t="shared" si="1238"/>
        <v>0</v>
      </c>
      <c r="W731" s="10">
        <f t="shared" si="1238"/>
        <v>0</v>
      </c>
      <c r="X731" s="10">
        <f t="shared" si="1238"/>
        <v>0</v>
      </c>
      <c r="Y731" s="10">
        <f t="shared" si="1238"/>
        <v>0</v>
      </c>
      <c r="Z731" s="10">
        <f t="shared" si="1238"/>
        <v>0</v>
      </c>
      <c r="AA731" s="10">
        <f t="shared" si="1238"/>
        <v>0</v>
      </c>
      <c r="AB731" s="10">
        <f t="shared" si="1238"/>
        <v>0</v>
      </c>
      <c r="AC731" s="10">
        <f t="shared" si="1238"/>
        <v>0</v>
      </c>
      <c r="AD731" s="10">
        <f t="shared" si="1238"/>
        <v>0</v>
      </c>
      <c r="AE731" s="10">
        <f t="shared" si="1238"/>
        <v>0</v>
      </c>
      <c r="AF731" s="10">
        <f t="shared" si="1238"/>
        <v>0</v>
      </c>
      <c r="AG731" s="10">
        <f t="shared" si="1238"/>
        <v>0</v>
      </c>
      <c r="AH731" s="10">
        <f t="shared" si="1238"/>
        <v>0</v>
      </c>
      <c r="AI731" s="10">
        <f t="shared" si="1238"/>
        <v>0</v>
      </c>
      <c r="AJ731" s="10">
        <f t="shared" si="1238"/>
        <v>0</v>
      </c>
      <c r="AK731" s="10">
        <f t="shared" si="1238"/>
        <v>0</v>
      </c>
      <c r="AL731" s="10">
        <f t="shared" si="1238"/>
        <v>0</v>
      </c>
      <c r="AM731" s="46">
        <f t="shared" si="1238"/>
        <v>0</v>
      </c>
      <c r="AN731" s="10">
        <f t="shared" si="1238"/>
        <v>0</v>
      </c>
      <c r="AO731" s="10">
        <f t="shared" si="1238"/>
        <v>0</v>
      </c>
      <c r="AP731" s="10">
        <f t="shared" si="1238"/>
        <v>0</v>
      </c>
      <c r="AQ731" s="10">
        <f t="shared" si="1238"/>
        <v>0</v>
      </c>
      <c r="AR731" s="10">
        <f t="shared" si="1238"/>
        <v>0</v>
      </c>
      <c r="AS731" s="10">
        <f t="shared" si="1238"/>
        <v>0</v>
      </c>
      <c r="AT731" s="10">
        <f t="shared" si="1238"/>
        <v>0</v>
      </c>
      <c r="AU731" s="10">
        <f t="shared" si="1238"/>
        <v>0</v>
      </c>
      <c r="AV731" s="10">
        <f t="shared" si="1238"/>
        <v>0</v>
      </c>
      <c r="AW731" s="10">
        <f t="shared" si="1238"/>
        <v>0</v>
      </c>
      <c r="AX731" s="10">
        <f t="shared" si="1238"/>
        <v>0</v>
      </c>
    </row>
    <row r="732" spans="1:50" ht="13.5" thickBot="1" x14ac:dyDescent="0.25">
      <c r="A732" s="16"/>
      <c r="B732" s="16"/>
      <c r="C732" s="16" t="s">
        <v>35</v>
      </c>
      <c r="D732" s="16"/>
      <c r="E732" s="80"/>
      <c r="F732" s="18">
        <f t="shared" ref="F732:AX732" si="1239">MEDIAN(F718:F726)</f>
        <v>216282</v>
      </c>
      <c r="G732" s="18">
        <f t="shared" si="1239"/>
        <v>75696</v>
      </c>
      <c r="H732" s="18">
        <f t="shared" si="1239"/>
        <v>2.7019743902618307</v>
      </c>
      <c r="I732" s="18">
        <f t="shared" si="1239"/>
        <v>305.7</v>
      </c>
      <c r="J732" s="18">
        <f t="shared" si="1239"/>
        <v>756.5</v>
      </c>
      <c r="K732" s="18">
        <f t="shared" si="1239"/>
        <v>468</v>
      </c>
      <c r="L732" s="18" t="e">
        <f t="shared" si="1239"/>
        <v>#NUM!</v>
      </c>
      <c r="M732" s="18">
        <f t="shared" si="1239"/>
        <v>66214</v>
      </c>
      <c r="N732" s="18">
        <f t="shared" si="1239"/>
        <v>66214</v>
      </c>
      <c r="O732" s="18">
        <f t="shared" si="1239"/>
        <v>33219</v>
      </c>
      <c r="P732" s="18">
        <f t="shared" si="1239"/>
        <v>0</v>
      </c>
      <c r="Q732" s="18">
        <f t="shared" si="1239"/>
        <v>75696</v>
      </c>
      <c r="R732" s="18" t="e">
        <f t="shared" si="1239"/>
        <v>#NUM!</v>
      </c>
      <c r="S732" s="18">
        <f t="shared" si="1239"/>
        <v>0</v>
      </c>
      <c r="T732" s="18">
        <f t="shared" si="1239"/>
        <v>0</v>
      </c>
      <c r="U732" s="18">
        <f t="shared" si="1239"/>
        <v>0</v>
      </c>
      <c r="V732" s="18">
        <f t="shared" si="1239"/>
        <v>0</v>
      </c>
      <c r="W732" s="18">
        <f t="shared" si="1239"/>
        <v>0</v>
      </c>
      <c r="X732" s="18">
        <f t="shared" si="1239"/>
        <v>0</v>
      </c>
      <c r="Y732" s="18">
        <f t="shared" si="1239"/>
        <v>0</v>
      </c>
      <c r="Z732" s="18">
        <f t="shared" si="1239"/>
        <v>0</v>
      </c>
      <c r="AA732" s="18">
        <f t="shared" si="1239"/>
        <v>0</v>
      </c>
      <c r="AB732" s="18">
        <f t="shared" si="1239"/>
        <v>0</v>
      </c>
      <c r="AC732" s="18">
        <f t="shared" si="1239"/>
        <v>0</v>
      </c>
      <c r="AD732" s="18">
        <f t="shared" si="1239"/>
        <v>0</v>
      </c>
      <c r="AE732" s="18">
        <f t="shared" si="1239"/>
        <v>0</v>
      </c>
      <c r="AF732" s="18">
        <f t="shared" si="1239"/>
        <v>0</v>
      </c>
      <c r="AG732" s="18">
        <f t="shared" si="1239"/>
        <v>0</v>
      </c>
      <c r="AH732" s="18">
        <f t="shared" si="1239"/>
        <v>0</v>
      </c>
      <c r="AI732" s="18">
        <f t="shared" si="1239"/>
        <v>0</v>
      </c>
      <c r="AJ732" s="18">
        <f t="shared" si="1239"/>
        <v>0</v>
      </c>
      <c r="AK732" s="18">
        <f t="shared" si="1239"/>
        <v>0</v>
      </c>
      <c r="AL732" s="18">
        <f t="shared" si="1239"/>
        <v>0</v>
      </c>
      <c r="AM732" s="47">
        <f t="shared" si="1239"/>
        <v>0</v>
      </c>
      <c r="AN732" s="18">
        <f t="shared" si="1239"/>
        <v>0</v>
      </c>
      <c r="AO732" s="18">
        <f t="shared" si="1239"/>
        <v>0</v>
      </c>
      <c r="AP732" s="18">
        <f t="shared" si="1239"/>
        <v>0</v>
      </c>
      <c r="AQ732" s="18">
        <f t="shared" si="1239"/>
        <v>0</v>
      </c>
      <c r="AR732" s="18">
        <f t="shared" si="1239"/>
        <v>0</v>
      </c>
      <c r="AS732" s="18">
        <f t="shared" si="1239"/>
        <v>0</v>
      </c>
      <c r="AT732" s="18">
        <f t="shared" si="1239"/>
        <v>0</v>
      </c>
      <c r="AU732" s="18">
        <f t="shared" si="1239"/>
        <v>0</v>
      </c>
      <c r="AV732" s="18">
        <f t="shared" si="1239"/>
        <v>0</v>
      </c>
      <c r="AW732" s="18">
        <f t="shared" si="1239"/>
        <v>0</v>
      </c>
      <c r="AX732" s="18">
        <f t="shared" si="1239"/>
        <v>0</v>
      </c>
    </row>
    <row r="733" spans="1:50" ht="13.5" thickTop="1" x14ac:dyDescent="0.2">
      <c r="B733"/>
      <c r="C733" s="5"/>
      <c r="D733" s="5"/>
    </row>
    <row r="734" spans="1:50" ht="13.5" thickBot="1" x14ac:dyDescent="0.25">
      <c r="A734" s="25"/>
      <c r="B734" s="25"/>
      <c r="C734" s="27" t="s">
        <v>37</v>
      </c>
      <c r="D734" s="27"/>
    </row>
    <row r="735" spans="1:50" ht="13.5" thickTop="1" x14ac:dyDescent="0.2"/>
    <row r="736" spans="1:50" x14ac:dyDescent="0.2">
      <c r="A736" s="8">
        <v>15990</v>
      </c>
      <c r="B736" s="89" t="str">
        <f t="shared" ref="B736:B737" si="1240">VLOOKUP($A736,$A$5:$K$132,2,FALSE)</f>
        <v>Northern Beaches</v>
      </c>
      <c r="C736" s="9">
        <f t="shared" ref="C736:C737" si="1241">VLOOKUP($A736,$A$5:$K$133,3,FALSE)</f>
        <v>0</v>
      </c>
      <c r="D736" s="51" t="str">
        <f t="shared" ref="D736:D737" si="1242">VLOOKUP($A736,$A$5:$K$133,4,FALSE)</f>
        <v>S</v>
      </c>
      <c r="E736" s="10">
        <f t="shared" ref="E736:E737" si="1243">VLOOKUP($A736,$A$5:$AX$132,5,FALSE)</f>
        <v>0</v>
      </c>
      <c r="F736" s="10">
        <f t="shared" ref="F736:F737" si="1244">VLOOKUP($A736,$A$5:$AX$132,6,FALSE)</f>
        <v>274041</v>
      </c>
      <c r="G736" s="10">
        <f t="shared" ref="G736:G737" si="1245">VLOOKUP($A736,$A$5:$AX$132,7,FALSE)</f>
        <v>114860</v>
      </c>
      <c r="H736" s="10">
        <f t="shared" ref="H736:H737" si="1246">VLOOKUP($A736,$A$5:$AX$132,8,FALSE)</f>
        <v>2.3858697544837195</v>
      </c>
      <c r="I736" s="10">
        <f t="shared" ref="I736:I737" si="1247">VLOOKUP($A736,$A$5:$AX$132,9,FALSE)</f>
        <v>254.2</v>
      </c>
      <c r="J736" s="10">
        <f t="shared" ref="J736:J737" si="1248">VLOOKUP($A736,$A$5:$AX$132,10,FALSE)</f>
        <v>1078</v>
      </c>
      <c r="K736" s="10">
        <f t="shared" ref="K736:K737" si="1249">VLOOKUP($A736,$A$5:$AX$132,11,FALSE)</f>
        <v>446</v>
      </c>
      <c r="L736" s="10" t="str">
        <f t="shared" ref="L736:L737" si="1250">VLOOKUP($A736,$A$4:$AX$132,12,FALSE)</f>
        <v>Y</v>
      </c>
      <c r="M736" s="10">
        <f t="shared" ref="M736:M737" si="1251">VLOOKUP($A736,$A$4:$AX$132,13,FALSE)</f>
        <v>112806</v>
      </c>
      <c r="N736" s="10">
        <f t="shared" ref="N736:N737" si="1252">VLOOKUP($A736,$A$4:$AX$132,14,FALSE)</f>
        <v>112806</v>
      </c>
      <c r="O736" s="10">
        <f t="shared" ref="O736:O737" si="1253">VLOOKUP($A736,$A$4:$AX$132,15,FALSE)</f>
        <v>112806</v>
      </c>
      <c r="P736" s="10">
        <f t="shared" ref="P736:P737" si="1254">VLOOKUP($A736,$A$4:$AX$132,16,FALSE)</f>
        <v>0</v>
      </c>
      <c r="Q736" s="10">
        <f t="shared" ref="Q736:Q737" si="1255">VLOOKUP($A736,$A$4:$AX$132,17,FALSE)</f>
        <v>114860</v>
      </c>
      <c r="R736" s="10" t="str">
        <f t="shared" ref="R736:R737" si="1256">VLOOKUP($A736,$A$4:$AX$132,18,FALSE)</f>
        <v>Yes</v>
      </c>
      <c r="S736" s="10" t="str">
        <f t="shared" ref="S736:S737" si="1257">VLOOKUP($A736,$A$4:$AX$132,19,FALSE)</f>
        <v>Manly Customer Service Centre 1 Belgrave Street Manly NSW 2095</v>
      </c>
      <c r="T736" s="10" t="str">
        <f t="shared" ref="T736:T737" si="1258">VLOOKUP($A736,$A$4:$AX$132,20,FALSE)</f>
        <v>Mona Vale Customer Centre Village Park, 1 Park Street Mona Vale NSW 2103</v>
      </c>
      <c r="U736" s="10" t="str">
        <f t="shared" ref="U736:U737" si="1259">VLOOKUP($A736,$A$4:$AX$132,21,FALSE)</f>
        <v>Dee Why Customer Service 725 Pittwater Road Dee Why NSW 2099</v>
      </c>
      <c r="V736" s="10">
        <f t="shared" ref="V736:V737" si="1260">VLOOKUP($A736,$A$4:$AX$132,22,FALSE)</f>
        <v>0</v>
      </c>
      <c r="W736" s="10">
        <f t="shared" ref="W736:W737" si="1261">VLOOKUP($A736,$A$4:$AX$132,23,FALSE)</f>
        <v>0</v>
      </c>
      <c r="X736" s="10">
        <f t="shared" ref="X736:X737" si="1262">VLOOKUP($A736,$A$4:$AX$132,24,FALSE)</f>
        <v>0</v>
      </c>
      <c r="Y736" s="10">
        <f t="shared" ref="Y736:Y737" si="1263">VLOOKUP($A736,$A$4:$AX$132,25,FALSE)</f>
        <v>0</v>
      </c>
      <c r="Z736" s="10">
        <f t="shared" ref="Z736:Z737" si="1264">VLOOKUP($A736,$A$4:$AX$132,26,FALSE)</f>
        <v>0</v>
      </c>
      <c r="AA736" s="10">
        <f t="shared" ref="AA736:AA737" si="1265">VLOOKUP($A736,$A$4:$AX$132,27,FALSE)</f>
        <v>0</v>
      </c>
      <c r="AB736" s="10">
        <f t="shared" ref="AB736:AB737" si="1266">VLOOKUP($A736,$A$4:$AX$132,28,FALSE)</f>
        <v>0</v>
      </c>
      <c r="AC736" s="10">
        <f t="shared" ref="AC736:AC737" si="1267">VLOOKUP($A736,$A$4:$AX$132,29,FALSE)</f>
        <v>0</v>
      </c>
      <c r="AD736" s="10">
        <f t="shared" ref="AD736:AD737" si="1268">VLOOKUP($A736,$A$4:$AX$132,30,FALSE)</f>
        <v>0</v>
      </c>
      <c r="AE736" s="10">
        <f t="shared" ref="AE736:AE737" si="1269">VLOOKUP($A736,$A$4:$AX$132,31,FALSE)</f>
        <v>0</v>
      </c>
      <c r="AF736" s="10">
        <f t="shared" ref="AF736:AF737" si="1270">VLOOKUP($A736,$A$4:$AX$132,32,FALSE)</f>
        <v>0</v>
      </c>
      <c r="AG736" s="10">
        <f t="shared" ref="AG736:AG737" si="1271">VLOOKUP($A736,$A$4:$AX$132,33,FALSE)</f>
        <v>0</v>
      </c>
      <c r="AH736" s="10">
        <f t="shared" ref="AH736:AH737" si="1272">VLOOKUP($A736,$A$4:$AX$132,34,FALSE)</f>
        <v>0</v>
      </c>
      <c r="AI736" s="10">
        <f t="shared" ref="AI736:AI737" si="1273">VLOOKUP($A736,$A$4:$AX$132,35,FALSE)</f>
        <v>0</v>
      </c>
      <c r="AJ736" s="10">
        <f t="shared" ref="AJ736:AJ737" si="1274">VLOOKUP($A736,$A$4:$AX$132,36,FALSE)</f>
        <v>0</v>
      </c>
      <c r="AK736" s="10">
        <f t="shared" ref="AK736:AK737" si="1275">VLOOKUP($A736,$A$4:$AX$132,37,FALSE)</f>
        <v>0</v>
      </c>
      <c r="AL736" s="10">
        <f t="shared" ref="AL736:AL737" si="1276">VLOOKUP($A736,$A$4:$AX$132,38,FALSE)</f>
        <v>0</v>
      </c>
      <c r="AM736" s="10">
        <f t="shared" ref="AM736:AM737" si="1277">VLOOKUP($A736,$A$4:$AX$132,39,FALSE)</f>
        <v>0</v>
      </c>
      <c r="AN736" s="46">
        <f t="shared" ref="AN736:AN737" si="1278">VLOOKUP($A736,$A$4:$AX$132,40,FALSE)</f>
        <v>0</v>
      </c>
      <c r="AO736" s="10">
        <f t="shared" ref="AO736:AO737" si="1279">VLOOKUP($A736,$A$4:$AX$132,41,FALSE)</f>
        <v>0</v>
      </c>
      <c r="AP736" s="10">
        <f t="shared" ref="AP736:AP737" si="1280">VLOOKUP($A736,$A$4:$AX$132,42,FALSE)</f>
        <v>0</v>
      </c>
      <c r="AQ736" s="10">
        <f t="shared" ref="AQ736:AQ737" si="1281">VLOOKUP($A736,$A$4:$AX$132,43,FALSE)</f>
        <v>0</v>
      </c>
      <c r="AR736" s="10">
        <f t="shared" ref="AR736:AR737" si="1282">VLOOKUP($A736,$A$4:$AX$132,44,FALSE)</f>
        <v>0</v>
      </c>
      <c r="AS736" s="10">
        <f t="shared" ref="AS736:AS737" si="1283">VLOOKUP($A736,$A$4:$AX$132,45,FALSE)</f>
        <v>0</v>
      </c>
      <c r="AT736" s="10">
        <f t="shared" ref="AT736:AT737" si="1284">VLOOKUP($A736,$A$4:$AX$132,46,FALSE)</f>
        <v>0</v>
      </c>
      <c r="AU736" s="10">
        <f t="shared" ref="AU736:AU737" si="1285">VLOOKUP($A736,$A$4:$AX$132,47,FALSE)</f>
        <v>0</v>
      </c>
      <c r="AV736" s="10">
        <f t="shared" ref="AV736:AV737" si="1286">VLOOKUP($A736,$A$4:$AX$132,48,FALSE)</f>
        <v>0</v>
      </c>
      <c r="AW736" s="10">
        <f t="shared" ref="AW736:AW737" si="1287">VLOOKUP($A736,$A$4:$AX$132,49,FALSE)</f>
        <v>0</v>
      </c>
      <c r="AX736" s="10">
        <f t="shared" ref="AX736:AX737" si="1288">VLOOKUP($A736,$A$4:$AX$132,50,FALSE)</f>
        <v>0</v>
      </c>
    </row>
    <row r="737" spans="1:50" ht="13.5" thickBot="1" x14ac:dyDescent="0.25">
      <c r="A737" s="8">
        <v>17100</v>
      </c>
      <c r="B737" s="89" t="str">
        <f t="shared" si="1240"/>
        <v>Strathfield</v>
      </c>
      <c r="C737" s="9">
        <f t="shared" si="1241"/>
        <v>0</v>
      </c>
      <c r="D737" s="51" t="str">
        <f t="shared" si="1242"/>
        <v>S</v>
      </c>
      <c r="E737" s="10">
        <f t="shared" si="1243"/>
        <v>0</v>
      </c>
      <c r="F737" s="10">
        <f t="shared" si="1244"/>
        <v>47767</v>
      </c>
      <c r="G737" s="10">
        <f t="shared" si="1245"/>
        <v>16350</v>
      </c>
      <c r="H737" s="10">
        <f t="shared" si="1246"/>
        <v>2.9215290519877675</v>
      </c>
      <c r="I737" s="10">
        <f t="shared" si="1247"/>
        <v>14</v>
      </c>
      <c r="J737" s="10">
        <f t="shared" si="1248"/>
        <v>3411.7</v>
      </c>
      <c r="K737" s="10">
        <f t="shared" si="1249"/>
        <v>760</v>
      </c>
      <c r="L737" s="10" t="str">
        <f t="shared" si="1250"/>
        <v>Y</v>
      </c>
      <c r="M737" s="10">
        <f t="shared" si="1251"/>
        <v>16052</v>
      </c>
      <c r="N737" s="10">
        <f t="shared" si="1252"/>
        <v>16052</v>
      </c>
      <c r="O737" s="10">
        <f t="shared" si="1253"/>
        <v>6589</v>
      </c>
      <c r="P737" s="10">
        <f t="shared" si="1254"/>
        <v>0</v>
      </c>
      <c r="Q737" s="10">
        <f t="shared" si="1255"/>
        <v>16350</v>
      </c>
      <c r="R737" s="10" t="str">
        <f t="shared" si="1256"/>
        <v>Yes</v>
      </c>
      <c r="S737" s="10">
        <f t="shared" si="1257"/>
        <v>0</v>
      </c>
      <c r="T737" s="10">
        <f t="shared" si="1258"/>
        <v>0</v>
      </c>
      <c r="U737" s="10">
        <f t="shared" si="1259"/>
        <v>0</v>
      </c>
      <c r="V737" s="10">
        <f t="shared" si="1260"/>
        <v>0</v>
      </c>
      <c r="W737" s="10">
        <f t="shared" si="1261"/>
        <v>0</v>
      </c>
      <c r="X737" s="10">
        <f t="shared" si="1262"/>
        <v>0</v>
      </c>
      <c r="Y737" s="10">
        <f t="shared" si="1263"/>
        <v>0</v>
      </c>
      <c r="Z737" s="10">
        <f t="shared" si="1264"/>
        <v>0</v>
      </c>
      <c r="AA737" s="10">
        <f t="shared" si="1265"/>
        <v>0</v>
      </c>
      <c r="AB737" s="10">
        <f t="shared" si="1266"/>
        <v>0</v>
      </c>
      <c r="AC737" s="10">
        <f t="shared" si="1267"/>
        <v>0</v>
      </c>
      <c r="AD737" s="10">
        <f t="shared" si="1268"/>
        <v>0</v>
      </c>
      <c r="AE737" s="10">
        <f t="shared" si="1269"/>
        <v>0</v>
      </c>
      <c r="AF737" s="10">
        <f t="shared" si="1270"/>
        <v>0</v>
      </c>
      <c r="AG737" s="10">
        <f t="shared" si="1271"/>
        <v>0</v>
      </c>
      <c r="AH737" s="10">
        <f t="shared" si="1272"/>
        <v>0</v>
      </c>
      <c r="AI737" s="10">
        <f t="shared" si="1273"/>
        <v>0</v>
      </c>
      <c r="AJ737" s="10">
        <f t="shared" si="1274"/>
        <v>0</v>
      </c>
      <c r="AK737" s="10">
        <f t="shared" si="1275"/>
        <v>0</v>
      </c>
      <c r="AL737" s="10">
        <f t="shared" si="1276"/>
        <v>0</v>
      </c>
      <c r="AM737" s="10">
        <f t="shared" si="1277"/>
        <v>0</v>
      </c>
      <c r="AN737" s="46">
        <f t="shared" si="1278"/>
        <v>0</v>
      </c>
      <c r="AO737" s="10">
        <f t="shared" si="1279"/>
        <v>0</v>
      </c>
      <c r="AP737" s="10">
        <f t="shared" si="1280"/>
        <v>0</v>
      </c>
      <c r="AQ737" s="10">
        <f t="shared" si="1281"/>
        <v>0</v>
      </c>
      <c r="AR737" s="10">
        <f t="shared" si="1282"/>
        <v>0</v>
      </c>
      <c r="AS737" s="10">
        <f t="shared" si="1283"/>
        <v>0</v>
      </c>
      <c r="AT737" s="10">
        <f t="shared" si="1284"/>
        <v>0</v>
      </c>
      <c r="AU737" s="10">
        <f t="shared" si="1285"/>
        <v>0</v>
      </c>
      <c r="AV737" s="10">
        <f t="shared" si="1286"/>
        <v>0</v>
      </c>
      <c r="AW737" s="10">
        <f t="shared" si="1287"/>
        <v>0</v>
      </c>
      <c r="AX737" s="10">
        <f t="shared" si="1288"/>
        <v>0</v>
      </c>
    </row>
    <row r="738" spans="1:50" ht="13.5" thickTop="1" x14ac:dyDescent="0.2">
      <c r="A738" s="11"/>
      <c r="B738" s="11"/>
      <c r="C738" s="11" t="s">
        <v>30</v>
      </c>
      <c r="D738" s="11"/>
      <c r="E738" s="12"/>
      <c r="F738" s="13">
        <f>COUNTIF(F736:F737,"&gt;0")</f>
        <v>2</v>
      </c>
      <c r="G738" s="13">
        <f t="shared" ref="G738:AX738" si="1289">COUNTIF(G736:G737,"&gt;0")</f>
        <v>2</v>
      </c>
      <c r="H738" s="13">
        <f t="shared" si="1289"/>
        <v>2</v>
      </c>
      <c r="I738" s="13">
        <f t="shared" si="1289"/>
        <v>2</v>
      </c>
      <c r="J738" s="13">
        <f t="shared" si="1289"/>
        <v>2</v>
      </c>
      <c r="K738" s="13">
        <f t="shared" si="1289"/>
        <v>2</v>
      </c>
      <c r="L738" s="13">
        <f t="shared" si="1289"/>
        <v>0</v>
      </c>
      <c r="M738" s="13">
        <f t="shared" si="1289"/>
        <v>2</v>
      </c>
      <c r="N738" s="13">
        <f t="shared" si="1289"/>
        <v>2</v>
      </c>
      <c r="O738" s="13">
        <f t="shared" si="1289"/>
        <v>2</v>
      </c>
      <c r="P738" s="13">
        <f t="shared" si="1289"/>
        <v>0</v>
      </c>
      <c r="Q738" s="13">
        <f t="shared" si="1289"/>
        <v>2</v>
      </c>
      <c r="R738" s="13">
        <f t="shared" si="1289"/>
        <v>0</v>
      </c>
      <c r="S738" s="13">
        <f t="shared" si="1289"/>
        <v>0</v>
      </c>
      <c r="T738" s="13">
        <f t="shared" si="1289"/>
        <v>0</v>
      </c>
      <c r="U738" s="13">
        <f t="shared" si="1289"/>
        <v>0</v>
      </c>
      <c r="V738" s="13">
        <f t="shared" si="1289"/>
        <v>0</v>
      </c>
      <c r="W738" s="13">
        <f t="shared" si="1289"/>
        <v>0</v>
      </c>
      <c r="X738" s="13">
        <f t="shared" si="1289"/>
        <v>0</v>
      </c>
      <c r="Y738" s="13">
        <f t="shared" si="1289"/>
        <v>0</v>
      </c>
      <c r="Z738" s="13">
        <f t="shared" si="1289"/>
        <v>0</v>
      </c>
      <c r="AA738" s="13">
        <f t="shared" si="1289"/>
        <v>0</v>
      </c>
      <c r="AB738" s="13">
        <f t="shared" si="1289"/>
        <v>0</v>
      </c>
      <c r="AC738" s="13">
        <f t="shared" si="1289"/>
        <v>0</v>
      </c>
      <c r="AD738" s="13">
        <f t="shared" si="1289"/>
        <v>0</v>
      </c>
      <c r="AE738" s="13">
        <f t="shared" si="1289"/>
        <v>0</v>
      </c>
      <c r="AF738" s="13">
        <f t="shared" si="1289"/>
        <v>0</v>
      </c>
      <c r="AG738" s="13">
        <f t="shared" si="1289"/>
        <v>0</v>
      </c>
      <c r="AH738" s="13">
        <f t="shared" si="1289"/>
        <v>0</v>
      </c>
      <c r="AI738" s="13">
        <f t="shared" si="1289"/>
        <v>0</v>
      </c>
      <c r="AJ738" s="13">
        <f t="shared" si="1289"/>
        <v>0</v>
      </c>
      <c r="AK738" s="13">
        <f t="shared" si="1289"/>
        <v>0</v>
      </c>
      <c r="AL738" s="13">
        <f t="shared" si="1289"/>
        <v>0</v>
      </c>
      <c r="AM738" s="44">
        <f t="shared" si="1289"/>
        <v>0</v>
      </c>
      <c r="AN738" s="13">
        <f t="shared" si="1289"/>
        <v>0</v>
      </c>
      <c r="AO738" s="13">
        <f t="shared" si="1289"/>
        <v>0</v>
      </c>
      <c r="AP738" s="13">
        <f t="shared" si="1289"/>
        <v>0</v>
      </c>
      <c r="AQ738" s="13">
        <f t="shared" si="1289"/>
        <v>0</v>
      </c>
      <c r="AR738" s="13">
        <f t="shared" si="1289"/>
        <v>0</v>
      </c>
      <c r="AS738" s="13">
        <f t="shared" si="1289"/>
        <v>0</v>
      </c>
      <c r="AT738" s="13">
        <f t="shared" si="1289"/>
        <v>0</v>
      </c>
      <c r="AU738" s="13">
        <f t="shared" si="1289"/>
        <v>0</v>
      </c>
      <c r="AV738" s="13">
        <f t="shared" si="1289"/>
        <v>0</v>
      </c>
      <c r="AW738" s="13">
        <f t="shared" si="1289"/>
        <v>0</v>
      </c>
      <c r="AX738" s="13">
        <f t="shared" si="1289"/>
        <v>0</v>
      </c>
    </row>
    <row r="739" spans="1:50" x14ac:dyDescent="0.2">
      <c r="A739" s="8"/>
      <c r="B739" s="8"/>
      <c r="C739" s="8" t="s">
        <v>31</v>
      </c>
      <c r="D739" s="8"/>
      <c r="E739" s="80"/>
      <c r="F739" s="15">
        <f>SUM(F736:F737)</f>
        <v>321808</v>
      </c>
      <c r="G739" s="15">
        <f t="shared" ref="G739:AX739" si="1290">SUM(G736:G737)</f>
        <v>131210</v>
      </c>
      <c r="H739" s="110">
        <f>F739/G739</f>
        <v>2.4526179407057387</v>
      </c>
      <c r="I739" s="15">
        <f t="shared" si="1290"/>
        <v>268.2</v>
      </c>
      <c r="J739" s="15">
        <f t="shared" si="1290"/>
        <v>4489.7</v>
      </c>
      <c r="K739" s="15">
        <f t="shared" si="1290"/>
        <v>1206</v>
      </c>
      <c r="L739" s="15">
        <f t="shared" si="1290"/>
        <v>0</v>
      </c>
      <c r="M739" s="15">
        <f t="shared" si="1290"/>
        <v>128858</v>
      </c>
      <c r="N739" s="15">
        <f t="shared" si="1290"/>
        <v>128858</v>
      </c>
      <c r="O739" s="15">
        <f t="shared" si="1290"/>
        <v>119395</v>
      </c>
      <c r="P739" s="15">
        <f t="shared" si="1290"/>
        <v>0</v>
      </c>
      <c r="Q739" s="15">
        <f t="shared" si="1290"/>
        <v>131210</v>
      </c>
      <c r="R739" s="15">
        <f t="shared" si="1290"/>
        <v>0</v>
      </c>
      <c r="S739" s="15">
        <f t="shared" si="1290"/>
        <v>0</v>
      </c>
      <c r="T739" s="15">
        <f t="shared" si="1290"/>
        <v>0</v>
      </c>
      <c r="U739" s="15">
        <f t="shared" si="1290"/>
        <v>0</v>
      </c>
      <c r="V739" s="15">
        <f t="shared" si="1290"/>
        <v>0</v>
      </c>
      <c r="W739" s="15">
        <f t="shared" si="1290"/>
        <v>0</v>
      </c>
      <c r="X739" s="15">
        <f t="shared" si="1290"/>
        <v>0</v>
      </c>
      <c r="Y739" s="15">
        <f t="shared" si="1290"/>
        <v>0</v>
      </c>
      <c r="Z739" s="15">
        <f t="shared" si="1290"/>
        <v>0</v>
      </c>
      <c r="AA739" s="15">
        <f t="shared" si="1290"/>
        <v>0</v>
      </c>
      <c r="AB739" s="15">
        <f t="shared" si="1290"/>
        <v>0</v>
      </c>
      <c r="AC739" s="15">
        <f t="shared" si="1290"/>
        <v>0</v>
      </c>
      <c r="AD739" s="15">
        <f t="shared" si="1290"/>
        <v>0</v>
      </c>
      <c r="AE739" s="15">
        <f t="shared" si="1290"/>
        <v>0</v>
      </c>
      <c r="AF739" s="15">
        <f t="shared" si="1290"/>
        <v>0</v>
      </c>
      <c r="AG739" s="15">
        <f t="shared" si="1290"/>
        <v>0</v>
      </c>
      <c r="AH739" s="15">
        <f t="shared" si="1290"/>
        <v>0</v>
      </c>
      <c r="AI739" s="15">
        <f t="shared" si="1290"/>
        <v>0</v>
      </c>
      <c r="AJ739" s="15">
        <f t="shared" si="1290"/>
        <v>0</v>
      </c>
      <c r="AK739" s="15">
        <f t="shared" si="1290"/>
        <v>0</v>
      </c>
      <c r="AL739" s="15">
        <f t="shared" si="1290"/>
        <v>0</v>
      </c>
      <c r="AM739" s="45">
        <f t="shared" si="1290"/>
        <v>0</v>
      </c>
      <c r="AN739" s="15">
        <f t="shared" si="1290"/>
        <v>0</v>
      </c>
      <c r="AO739" s="15">
        <f t="shared" si="1290"/>
        <v>0</v>
      </c>
      <c r="AP739" s="15">
        <f t="shared" si="1290"/>
        <v>0</v>
      </c>
      <c r="AQ739" s="15">
        <f t="shared" si="1290"/>
        <v>0</v>
      </c>
      <c r="AR739" s="15">
        <f t="shared" si="1290"/>
        <v>0</v>
      </c>
      <c r="AS739" s="15">
        <f t="shared" si="1290"/>
        <v>0</v>
      </c>
      <c r="AT739" s="15">
        <f t="shared" si="1290"/>
        <v>0</v>
      </c>
      <c r="AU739" s="15">
        <f t="shared" si="1290"/>
        <v>0</v>
      </c>
      <c r="AV739" s="15">
        <f t="shared" si="1290"/>
        <v>0</v>
      </c>
      <c r="AW739" s="15">
        <f t="shared" si="1290"/>
        <v>0</v>
      </c>
      <c r="AX739" s="15">
        <f t="shared" si="1290"/>
        <v>0</v>
      </c>
    </row>
    <row r="740" spans="1:50" x14ac:dyDescent="0.2">
      <c r="A740" s="8"/>
      <c r="B740" s="8"/>
      <c r="C740" s="8" t="s">
        <v>32</v>
      </c>
      <c r="D740" s="8"/>
      <c r="E740" s="80"/>
      <c r="F740" s="10">
        <f>MIN(F736:F737)</f>
        <v>47767</v>
      </c>
      <c r="G740" s="10">
        <f t="shared" ref="G740:AX740" si="1291">MIN(G736:G737)</f>
        <v>16350</v>
      </c>
      <c r="H740" s="10">
        <f t="shared" si="1291"/>
        <v>2.3858697544837195</v>
      </c>
      <c r="I740" s="10">
        <f t="shared" si="1291"/>
        <v>14</v>
      </c>
      <c r="J740" s="10">
        <f t="shared" si="1291"/>
        <v>1078</v>
      </c>
      <c r="K740" s="10">
        <f t="shared" si="1291"/>
        <v>446</v>
      </c>
      <c r="L740" s="10">
        <f t="shared" si="1291"/>
        <v>0</v>
      </c>
      <c r="M740" s="10">
        <f t="shared" si="1291"/>
        <v>16052</v>
      </c>
      <c r="N740" s="10">
        <f t="shared" si="1291"/>
        <v>16052</v>
      </c>
      <c r="O740" s="10">
        <f t="shared" si="1291"/>
        <v>6589</v>
      </c>
      <c r="P740" s="10">
        <f t="shared" si="1291"/>
        <v>0</v>
      </c>
      <c r="Q740" s="10">
        <f t="shared" si="1291"/>
        <v>16350</v>
      </c>
      <c r="R740" s="10">
        <f t="shared" si="1291"/>
        <v>0</v>
      </c>
      <c r="S740" s="10">
        <f t="shared" si="1291"/>
        <v>0</v>
      </c>
      <c r="T740" s="10">
        <f t="shared" si="1291"/>
        <v>0</v>
      </c>
      <c r="U740" s="10">
        <f t="shared" si="1291"/>
        <v>0</v>
      </c>
      <c r="V740" s="10">
        <f t="shared" si="1291"/>
        <v>0</v>
      </c>
      <c r="W740" s="10">
        <f t="shared" si="1291"/>
        <v>0</v>
      </c>
      <c r="X740" s="10">
        <f t="shared" si="1291"/>
        <v>0</v>
      </c>
      <c r="Y740" s="10">
        <f t="shared" si="1291"/>
        <v>0</v>
      </c>
      <c r="Z740" s="10">
        <f t="shared" si="1291"/>
        <v>0</v>
      </c>
      <c r="AA740" s="10">
        <f t="shared" si="1291"/>
        <v>0</v>
      </c>
      <c r="AB740" s="10">
        <f t="shared" si="1291"/>
        <v>0</v>
      </c>
      <c r="AC740" s="10">
        <f t="shared" si="1291"/>
        <v>0</v>
      </c>
      <c r="AD740" s="10">
        <f t="shared" si="1291"/>
        <v>0</v>
      </c>
      <c r="AE740" s="10">
        <f t="shared" si="1291"/>
        <v>0</v>
      </c>
      <c r="AF740" s="10">
        <f t="shared" si="1291"/>
        <v>0</v>
      </c>
      <c r="AG740" s="10">
        <f t="shared" si="1291"/>
        <v>0</v>
      </c>
      <c r="AH740" s="10">
        <f t="shared" si="1291"/>
        <v>0</v>
      </c>
      <c r="AI740" s="10">
        <f t="shared" si="1291"/>
        <v>0</v>
      </c>
      <c r="AJ740" s="10">
        <f t="shared" si="1291"/>
        <v>0</v>
      </c>
      <c r="AK740" s="10">
        <f t="shared" si="1291"/>
        <v>0</v>
      </c>
      <c r="AL740" s="10">
        <f t="shared" si="1291"/>
        <v>0</v>
      </c>
      <c r="AM740" s="46">
        <f t="shared" si="1291"/>
        <v>0</v>
      </c>
      <c r="AN740" s="10">
        <f t="shared" si="1291"/>
        <v>0</v>
      </c>
      <c r="AO740" s="10">
        <f t="shared" si="1291"/>
        <v>0</v>
      </c>
      <c r="AP740" s="10">
        <f t="shared" si="1291"/>
        <v>0</v>
      </c>
      <c r="AQ740" s="10">
        <f t="shared" si="1291"/>
        <v>0</v>
      </c>
      <c r="AR740" s="10">
        <f t="shared" si="1291"/>
        <v>0</v>
      </c>
      <c r="AS740" s="10">
        <f t="shared" si="1291"/>
        <v>0</v>
      </c>
      <c r="AT740" s="10">
        <f t="shared" si="1291"/>
        <v>0</v>
      </c>
      <c r="AU740" s="10">
        <f t="shared" si="1291"/>
        <v>0</v>
      </c>
      <c r="AV740" s="10">
        <f t="shared" si="1291"/>
        <v>0</v>
      </c>
      <c r="AW740" s="10">
        <f t="shared" si="1291"/>
        <v>0</v>
      </c>
      <c r="AX740" s="10">
        <f t="shared" si="1291"/>
        <v>0</v>
      </c>
    </row>
    <row r="741" spans="1:50" x14ac:dyDescent="0.2">
      <c r="A741" s="8"/>
      <c r="B741" s="8"/>
      <c r="C741" s="8" t="s">
        <v>33</v>
      </c>
      <c r="D741" s="8"/>
      <c r="E741" s="80"/>
      <c r="F741" s="10">
        <f>MAX(F736:F737)</f>
        <v>274041</v>
      </c>
      <c r="G741" s="10">
        <f t="shared" ref="G741:AX741" si="1292">MAX(G736:G737)</f>
        <v>114860</v>
      </c>
      <c r="H741" s="10">
        <f t="shared" si="1292"/>
        <v>2.9215290519877675</v>
      </c>
      <c r="I741" s="10">
        <f t="shared" si="1292"/>
        <v>254.2</v>
      </c>
      <c r="J741" s="10">
        <f t="shared" si="1292"/>
        <v>3411.7</v>
      </c>
      <c r="K741" s="10">
        <f t="shared" si="1292"/>
        <v>760</v>
      </c>
      <c r="L741" s="10">
        <f t="shared" si="1292"/>
        <v>0</v>
      </c>
      <c r="M741" s="10">
        <f t="shared" si="1292"/>
        <v>112806</v>
      </c>
      <c r="N741" s="10">
        <f t="shared" si="1292"/>
        <v>112806</v>
      </c>
      <c r="O741" s="10">
        <f t="shared" si="1292"/>
        <v>112806</v>
      </c>
      <c r="P741" s="10">
        <f t="shared" si="1292"/>
        <v>0</v>
      </c>
      <c r="Q741" s="10">
        <f t="shared" si="1292"/>
        <v>114860</v>
      </c>
      <c r="R741" s="10">
        <f t="shared" si="1292"/>
        <v>0</v>
      </c>
      <c r="S741" s="10">
        <f t="shared" si="1292"/>
        <v>0</v>
      </c>
      <c r="T741" s="10">
        <f t="shared" si="1292"/>
        <v>0</v>
      </c>
      <c r="U741" s="10">
        <f t="shared" si="1292"/>
        <v>0</v>
      </c>
      <c r="V741" s="10">
        <f t="shared" si="1292"/>
        <v>0</v>
      </c>
      <c r="W741" s="10">
        <f t="shared" si="1292"/>
        <v>0</v>
      </c>
      <c r="X741" s="10">
        <f t="shared" si="1292"/>
        <v>0</v>
      </c>
      <c r="Y741" s="10">
        <f t="shared" si="1292"/>
        <v>0</v>
      </c>
      <c r="Z741" s="10">
        <f t="shared" si="1292"/>
        <v>0</v>
      </c>
      <c r="AA741" s="10">
        <f t="shared" si="1292"/>
        <v>0</v>
      </c>
      <c r="AB741" s="10">
        <f t="shared" si="1292"/>
        <v>0</v>
      </c>
      <c r="AC741" s="10">
        <f t="shared" si="1292"/>
        <v>0</v>
      </c>
      <c r="AD741" s="10">
        <f t="shared" si="1292"/>
        <v>0</v>
      </c>
      <c r="AE741" s="10">
        <f t="shared" si="1292"/>
        <v>0</v>
      </c>
      <c r="AF741" s="10">
        <f t="shared" si="1292"/>
        <v>0</v>
      </c>
      <c r="AG741" s="10">
        <f t="shared" si="1292"/>
        <v>0</v>
      </c>
      <c r="AH741" s="10">
        <f t="shared" si="1292"/>
        <v>0</v>
      </c>
      <c r="AI741" s="10">
        <f t="shared" si="1292"/>
        <v>0</v>
      </c>
      <c r="AJ741" s="10">
        <f t="shared" si="1292"/>
        <v>0</v>
      </c>
      <c r="AK741" s="10">
        <f t="shared" si="1292"/>
        <v>0</v>
      </c>
      <c r="AL741" s="10">
        <f t="shared" si="1292"/>
        <v>0</v>
      </c>
      <c r="AM741" s="46">
        <f t="shared" si="1292"/>
        <v>0</v>
      </c>
      <c r="AN741" s="10">
        <f t="shared" si="1292"/>
        <v>0</v>
      </c>
      <c r="AO741" s="10">
        <f t="shared" si="1292"/>
        <v>0</v>
      </c>
      <c r="AP741" s="10">
        <f t="shared" si="1292"/>
        <v>0</v>
      </c>
      <c r="AQ741" s="10">
        <f t="shared" si="1292"/>
        <v>0</v>
      </c>
      <c r="AR741" s="10">
        <f t="shared" si="1292"/>
        <v>0</v>
      </c>
      <c r="AS741" s="10">
        <f t="shared" si="1292"/>
        <v>0</v>
      </c>
      <c r="AT741" s="10">
        <f t="shared" si="1292"/>
        <v>0</v>
      </c>
      <c r="AU741" s="10">
        <f t="shared" si="1292"/>
        <v>0</v>
      </c>
      <c r="AV741" s="10">
        <f t="shared" si="1292"/>
        <v>0</v>
      </c>
      <c r="AW741" s="10">
        <f t="shared" si="1292"/>
        <v>0</v>
      </c>
      <c r="AX741" s="10">
        <f t="shared" si="1292"/>
        <v>0</v>
      </c>
    </row>
    <row r="742" spans="1:50" x14ac:dyDescent="0.2">
      <c r="A742" s="8"/>
      <c r="B742" s="8"/>
      <c r="C742" s="8" t="s">
        <v>34</v>
      </c>
      <c r="D742" s="8"/>
      <c r="E742" s="80"/>
      <c r="F742" s="10">
        <f>AVERAGE(F736:F737)</f>
        <v>160904</v>
      </c>
      <c r="G742" s="10">
        <f t="shared" ref="G742:AX742" si="1293">AVERAGE(G736:G737)</f>
        <v>65605</v>
      </c>
      <c r="H742" s="10">
        <f t="shared" si="1293"/>
        <v>2.6536994032357435</v>
      </c>
      <c r="I742" s="10">
        <f t="shared" si="1293"/>
        <v>134.1</v>
      </c>
      <c r="J742" s="10">
        <f t="shared" si="1293"/>
        <v>2244.85</v>
      </c>
      <c r="K742" s="10">
        <f t="shared" si="1293"/>
        <v>603</v>
      </c>
      <c r="L742" s="10" t="e">
        <f t="shared" si="1293"/>
        <v>#DIV/0!</v>
      </c>
      <c r="M742" s="10">
        <f t="shared" si="1293"/>
        <v>64429</v>
      </c>
      <c r="N742" s="10">
        <f t="shared" si="1293"/>
        <v>64429</v>
      </c>
      <c r="O742" s="10">
        <f t="shared" si="1293"/>
        <v>59697.5</v>
      </c>
      <c r="P742" s="10">
        <f t="shared" si="1293"/>
        <v>0</v>
      </c>
      <c r="Q742" s="10">
        <f t="shared" si="1293"/>
        <v>65605</v>
      </c>
      <c r="R742" s="10" t="e">
        <f t="shared" si="1293"/>
        <v>#DIV/0!</v>
      </c>
      <c r="S742" s="10">
        <f t="shared" si="1293"/>
        <v>0</v>
      </c>
      <c r="T742" s="10">
        <f t="shared" si="1293"/>
        <v>0</v>
      </c>
      <c r="U742" s="10">
        <f t="shared" si="1293"/>
        <v>0</v>
      </c>
      <c r="V742" s="10">
        <f t="shared" si="1293"/>
        <v>0</v>
      </c>
      <c r="W742" s="10">
        <f t="shared" si="1293"/>
        <v>0</v>
      </c>
      <c r="X742" s="10">
        <f t="shared" si="1293"/>
        <v>0</v>
      </c>
      <c r="Y742" s="10">
        <f t="shared" si="1293"/>
        <v>0</v>
      </c>
      <c r="Z742" s="10">
        <f t="shared" si="1293"/>
        <v>0</v>
      </c>
      <c r="AA742" s="10">
        <f t="shared" si="1293"/>
        <v>0</v>
      </c>
      <c r="AB742" s="10">
        <f t="shared" si="1293"/>
        <v>0</v>
      </c>
      <c r="AC742" s="10">
        <f t="shared" si="1293"/>
        <v>0</v>
      </c>
      <c r="AD742" s="10">
        <f t="shared" si="1293"/>
        <v>0</v>
      </c>
      <c r="AE742" s="10">
        <f t="shared" si="1293"/>
        <v>0</v>
      </c>
      <c r="AF742" s="10">
        <f t="shared" si="1293"/>
        <v>0</v>
      </c>
      <c r="AG742" s="10">
        <f t="shared" si="1293"/>
        <v>0</v>
      </c>
      <c r="AH742" s="10">
        <f t="shared" si="1293"/>
        <v>0</v>
      </c>
      <c r="AI742" s="10">
        <f t="shared" si="1293"/>
        <v>0</v>
      </c>
      <c r="AJ742" s="10">
        <f t="shared" si="1293"/>
        <v>0</v>
      </c>
      <c r="AK742" s="10">
        <f t="shared" si="1293"/>
        <v>0</v>
      </c>
      <c r="AL742" s="10">
        <f t="shared" si="1293"/>
        <v>0</v>
      </c>
      <c r="AM742" s="46">
        <f t="shared" si="1293"/>
        <v>0</v>
      </c>
      <c r="AN742" s="10">
        <f t="shared" si="1293"/>
        <v>0</v>
      </c>
      <c r="AO742" s="10">
        <f t="shared" si="1293"/>
        <v>0</v>
      </c>
      <c r="AP742" s="10">
        <f t="shared" si="1293"/>
        <v>0</v>
      </c>
      <c r="AQ742" s="10">
        <f t="shared" si="1293"/>
        <v>0</v>
      </c>
      <c r="AR742" s="10">
        <f t="shared" si="1293"/>
        <v>0</v>
      </c>
      <c r="AS742" s="10">
        <f t="shared" si="1293"/>
        <v>0</v>
      </c>
      <c r="AT742" s="10">
        <f t="shared" si="1293"/>
        <v>0</v>
      </c>
      <c r="AU742" s="10">
        <f t="shared" si="1293"/>
        <v>0</v>
      </c>
      <c r="AV742" s="10">
        <f t="shared" si="1293"/>
        <v>0</v>
      </c>
      <c r="AW742" s="10">
        <f t="shared" si="1293"/>
        <v>0</v>
      </c>
      <c r="AX742" s="10">
        <f t="shared" si="1293"/>
        <v>0</v>
      </c>
    </row>
    <row r="743" spans="1:50" ht="13.5" thickBot="1" x14ac:dyDescent="0.25">
      <c r="A743" s="16"/>
      <c r="B743" s="16"/>
      <c r="C743" s="16" t="s">
        <v>35</v>
      </c>
      <c r="D743" s="16"/>
      <c r="E743" s="80"/>
      <c r="F743" s="18">
        <f>MEDIAN(F736:F737)</f>
        <v>160904</v>
      </c>
      <c r="G743" s="18">
        <f t="shared" ref="G743:AX743" si="1294">MEDIAN(G736:G737)</f>
        <v>65605</v>
      </c>
      <c r="H743" s="18">
        <f t="shared" si="1294"/>
        <v>2.6536994032357435</v>
      </c>
      <c r="I743" s="18">
        <f t="shared" si="1294"/>
        <v>134.1</v>
      </c>
      <c r="J743" s="18">
        <f t="shared" si="1294"/>
        <v>2244.85</v>
      </c>
      <c r="K743" s="18">
        <f t="shared" si="1294"/>
        <v>603</v>
      </c>
      <c r="L743" s="18" t="e">
        <f t="shared" si="1294"/>
        <v>#NUM!</v>
      </c>
      <c r="M743" s="18">
        <f t="shared" si="1294"/>
        <v>64429</v>
      </c>
      <c r="N743" s="18">
        <f t="shared" si="1294"/>
        <v>64429</v>
      </c>
      <c r="O743" s="18">
        <f t="shared" si="1294"/>
        <v>59697.5</v>
      </c>
      <c r="P743" s="18">
        <f t="shared" si="1294"/>
        <v>0</v>
      </c>
      <c r="Q743" s="18">
        <f t="shared" si="1294"/>
        <v>65605</v>
      </c>
      <c r="R743" s="18" t="e">
        <f t="shared" si="1294"/>
        <v>#NUM!</v>
      </c>
      <c r="S743" s="18">
        <f t="shared" si="1294"/>
        <v>0</v>
      </c>
      <c r="T743" s="18">
        <f t="shared" si="1294"/>
        <v>0</v>
      </c>
      <c r="U743" s="18">
        <f t="shared" si="1294"/>
        <v>0</v>
      </c>
      <c r="V743" s="18">
        <f t="shared" si="1294"/>
        <v>0</v>
      </c>
      <c r="W743" s="18">
        <f t="shared" si="1294"/>
        <v>0</v>
      </c>
      <c r="X743" s="18">
        <f t="shared" si="1294"/>
        <v>0</v>
      </c>
      <c r="Y743" s="18">
        <f t="shared" si="1294"/>
        <v>0</v>
      </c>
      <c r="Z743" s="18">
        <f t="shared" si="1294"/>
        <v>0</v>
      </c>
      <c r="AA743" s="18">
        <f t="shared" si="1294"/>
        <v>0</v>
      </c>
      <c r="AB743" s="18">
        <f t="shared" si="1294"/>
        <v>0</v>
      </c>
      <c r="AC743" s="18">
        <f t="shared" si="1294"/>
        <v>0</v>
      </c>
      <c r="AD743" s="18">
        <f t="shared" si="1294"/>
        <v>0</v>
      </c>
      <c r="AE743" s="18">
        <f t="shared" si="1294"/>
        <v>0</v>
      </c>
      <c r="AF743" s="18">
        <f t="shared" si="1294"/>
        <v>0</v>
      </c>
      <c r="AG743" s="18">
        <f t="shared" si="1294"/>
        <v>0</v>
      </c>
      <c r="AH743" s="18">
        <f t="shared" si="1294"/>
        <v>0</v>
      </c>
      <c r="AI743" s="18">
        <f t="shared" si="1294"/>
        <v>0</v>
      </c>
      <c r="AJ743" s="18">
        <f t="shared" si="1294"/>
        <v>0</v>
      </c>
      <c r="AK743" s="18">
        <f t="shared" si="1294"/>
        <v>0</v>
      </c>
      <c r="AL743" s="18">
        <f t="shared" si="1294"/>
        <v>0</v>
      </c>
      <c r="AM743" s="47">
        <f t="shared" si="1294"/>
        <v>0</v>
      </c>
      <c r="AN743" s="18">
        <f t="shared" si="1294"/>
        <v>0</v>
      </c>
      <c r="AO743" s="18">
        <f t="shared" si="1294"/>
        <v>0</v>
      </c>
      <c r="AP743" s="18">
        <f t="shared" si="1294"/>
        <v>0</v>
      </c>
      <c r="AQ743" s="18">
        <f t="shared" si="1294"/>
        <v>0</v>
      </c>
      <c r="AR743" s="18">
        <f t="shared" si="1294"/>
        <v>0</v>
      </c>
      <c r="AS743" s="18">
        <f t="shared" si="1294"/>
        <v>0</v>
      </c>
      <c r="AT743" s="18">
        <f t="shared" si="1294"/>
        <v>0</v>
      </c>
      <c r="AU743" s="18">
        <f t="shared" si="1294"/>
        <v>0</v>
      </c>
      <c r="AV743" s="18">
        <f t="shared" si="1294"/>
        <v>0</v>
      </c>
      <c r="AW743" s="18">
        <f t="shared" si="1294"/>
        <v>0</v>
      </c>
      <c r="AX743" s="18">
        <f t="shared" si="1294"/>
        <v>0</v>
      </c>
    </row>
    <row r="744" spans="1:50" ht="13.5" thickTop="1" x14ac:dyDescent="0.2"/>
  </sheetData>
  <sortState xmlns:xlrd2="http://schemas.microsoft.com/office/spreadsheetml/2017/richdata2" ref="A5:BA132">
    <sortCondition ref="A5:A132"/>
  </sortState>
  <hyperlinks>
    <hyperlink ref="B139" location="NSW!A8" display="Top" xr:uid="{34E53FEF-28D3-4198-B786-FBD1B542082F}"/>
    <hyperlink ref="B180" location="'2008-09'!A7" display="Top" xr:uid="{0293A91E-10A9-4C9B-AF4F-BF04528335C1}"/>
    <hyperlink ref="B202" location="'2008-09'!A7" display="Top" xr:uid="{E04F741A-0430-4B41-9A6D-A4F7BD6B3EAA}"/>
    <hyperlink ref="B403" location="'2008-09'!A7" display="Top" xr:uid="{660265E2-139F-4518-AED8-4EF9542F85DB}"/>
    <hyperlink ref="B231" location="'2008-09'!A7" display="Top" xr:uid="{C105DD67-AE8F-4835-B9F7-6F355CE79F0D}"/>
    <hyperlink ref="B308" location="'2008-09'!A7" display="Top" xr:uid="{7F7F0EDA-5A24-464E-8173-22EE2B325940}"/>
    <hyperlink ref="B455" location="'2008-09'!A7" display="Top" xr:uid="{F68114C6-5517-47B6-B93A-3CAA6E26D632}"/>
    <hyperlink ref="D63" location="'2009-10'!A160" display="Bottom" xr:uid="{DA6F83EF-6AC5-4167-81AC-83A1EEC56725}"/>
  </hyperlinks>
  <printOptions horizontalCentered="1"/>
  <pageMargins left="0.23622047244094488" right="0.23622047244094488" top="0.74803149606299213" bottom="0.74803149606299213" header="0.31496062992125984" footer="0.31496062992125984"/>
  <pageSetup paperSize="9" scale="73" fitToHeight="0" orientation="portrait" r:id="rId1"/>
  <headerFooter alignWithMargins="0"/>
  <ignoredErrors>
    <ignoredError sqref="H472:H477 H468" formula="1"/>
    <ignoredError sqref="D468" formulaRange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C823B-F824-4E18-9960-93577126524F}">
  <dimension ref="A1:O36"/>
  <sheetViews>
    <sheetView workbookViewId="0">
      <selection activeCell="J31" sqref="J31"/>
    </sheetView>
  </sheetViews>
  <sheetFormatPr defaultRowHeight="12.75" x14ac:dyDescent="0.2"/>
  <cols>
    <col min="1" max="1" width="6.85546875" customWidth="1"/>
    <col min="2" max="2" width="16.140625" bestFit="1" customWidth="1"/>
    <col min="3" max="3" width="14.140625" bestFit="1" customWidth="1"/>
    <col min="4" max="4" width="3" style="5" bestFit="1" customWidth="1"/>
    <col min="5" max="6" width="10.7109375" customWidth="1"/>
    <col min="14" max="14" width="32.85546875" bestFit="1" customWidth="1"/>
  </cols>
  <sheetData>
    <row r="1" spans="1:15" ht="15.75" x14ac:dyDescent="0.25">
      <c r="A1" s="717" t="s">
        <v>607</v>
      </c>
      <c r="B1" s="717"/>
      <c r="C1" s="717"/>
      <c r="D1" s="717"/>
      <c r="E1" s="717"/>
      <c r="F1" s="717"/>
    </row>
    <row r="2" spans="1:15" x14ac:dyDescent="0.2">
      <c r="E2" s="282"/>
    </row>
    <row r="3" spans="1:15" ht="74.25" x14ac:dyDescent="0.2">
      <c r="A3" s="283" t="s">
        <v>38</v>
      </c>
      <c r="B3" s="40" t="s">
        <v>6</v>
      </c>
      <c r="C3" s="3" t="s">
        <v>15</v>
      </c>
      <c r="D3" s="3" t="s">
        <v>608</v>
      </c>
      <c r="E3" s="41" t="s">
        <v>182</v>
      </c>
      <c r="F3" s="42" t="s">
        <v>191</v>
      </c>
      <c r="G3" s="718" t="s">
        <v>609</v>
      </c>
      <c r="H3" s="719"/>
      <c r="I3" s="720"/>
      <c r="J3" s="718" t="s">
        <v>610</v>
      </c>
      <c r="K3" s="719"/>
      <c r="L3" s="720"/>
    </row>
    <row r="4" spans="1:15" ht="34.5" thickBot="1" x14ac:dyDescent="0.25">
      <c r="A4" s="43"/>
      <c r="B4" s="43"/>
      <c r="C4" s="43"/>
      <c r="D4" s="38"/>
      <c r="E4" s="106" t="s">
        <v>185</v>
      </c>
      <c r="F4" s="107" t="s">
        <v>50</v>
      </c>
      <c r="G4" s="127" t="s">
        <v>611</v>
      </c>
      <c r="H4" s="127" t="s">
        <v>612</v>
      </c>
      <c r="I4" s="127" t="s">
        <v>613</v>
      </c>
      <c r="J4" s="127" t="s">
        <v>614</v>
      </c>
      <c r="K4" s="127" t="s">
        <v>612</v>
      </c>
      <c r="L4" s="127" t="s">
        <v>613</v>
      </c>
      <c r="M4" s="284" t="s">
        <v>615</v>
      </c>
    </row>
    <row r="5" spans="1:15" ht="13.5" thickTop="1" x14ac:dyDescent="0.2">
      <c r="A5" s="9">
        <v>10500</v>
      </c>
      <c r="B5" s="9" t="s">
        <v>23</v>
      </c>
      <c r="C5" s="9" t="s">
        <v>18</v>
      </c>
      <c r="D5" s="29" t="s">
        <v>3</v>
      </c>
      <c r="E5" s="75">
        <v>181472</v>
      </c>
      <c r="F5" s="285">
        <v>66666</v>
      </c>
      <c r="G5" s="285">
        <v>44095</v>
      </c>
      <c r="H5" s="285">
        <f t="shared" ref="H5:H29" si="0">G5-I5</f>
        <v>16933</v>
      </c>
      <c r="I5" s="285">
        <f t="shared" ref="I5:I29" si="1">G5-K5</f>
        <v>27162</v>
      </c>
      <c r="J5" s="285">
        <v>44095</v>
      </c>
      <c r="K5" s="286">
        <f t="shared" ref="K5:K12" si="2">J5-L5</f>
        <v>16933</v>
      </c>
      <c r="L5" s="285">
        <v>27162</v>
      </c>
      <c r="M5" s="163">
        <f>K5/J5</f>
        <v>0.38401179272026309</v>
      </c>
      <c r="N5" s="2" t="s">
        <v>616</v>
      </c>
      <c r="O5" s="2" t="s">
        <v>617</v>
      </c>
    </row>
    <row r="6" spans="1:15" x14ac:dyDescent="0.2">
      <c r="A6" s="8">
        <v>10600</v>
      </c>
      <c r="B6" s="8" t="s">
        <v>51</v>
      </c>
      <c r="C6" s="8" t="s">
        <v>43</v>
      </c>
      <c r="D6" s="29" t="s">
        <v>4</v>
      </c>
      <c r="E6" s="75">
        <v>13141</v>
      </c>
      <c r="F6" s="285">
        <v>6000</v>
      </c>
      <c r="G6" s="285">
        <v>1541.1</v>
      </c>
      <c r="H6" s="285">
        <f t="shared" si="0"/>
        <v>46.230000000000018</v>
      </c>
      <c r="I6" s="285">
        <f t="shared" si="1"/>
        <v>1494.87</v>
      </c>
      <c r="J6" s="285">
        <v>1541.1</v>
      </c>
      <c r="K6" s="286">
        <f t="shared" si="2"/>
        <v>46.230000000000018</v>
      </c>
      <c r="L6" s="285">
        <v>1494.87</v>
      </c>
      <c r="M6" s="163">
        <f>K6/J6</f>
        <v>2.9998053338524445E-2</v>
      </c>
      <c r="N6" s="2" t="s">
        <v>618</v>
      </c>
      <c r="O6" s="2" t="s">
        <v>619</v>
      </c>
    </row>
    <row r="7" spans="1:15" x14ac:dyDescent="0.2">
      <c r="A7" s="8">
        <v>10750</v>
      </c>
      <c r="B7" s="8" t="s">
        <v>52</v>
      </c>
      <c r="C7" s="8" t="s">
        <v>19</v>
      </c>
      <c r="D7" s="29" t="s">
        <v>3</v>
      </c>
      <c r="E7" s="75">
        <v>382831</v>
      </c>
      <c r="F7" s="285">
        <v>144115</v>
      </c>
      <c r="G7" s="285">
        <v>116053</v>
      </c>
      <c r="H7" s="285">
        <f t="shared" si="0"/>
        <v>44832.91</v>
      </c>
      <c r="I7" s="285">
        <f t="shared" si="1"/>
        <v>71220.09</v>
      </c>
      <c r="J7" s="285">
        <v>116053</v>
      </c>
      <c r="K7" s="286">
        <f t="shared" si="2"/>
        <v>44832.91</v>
      </c>
      <c r="L7" s="285">
        <v>71220.09</v>
      </c>
      <c r="M7" s="163">
        <f>K7/J7</f>
        <v>0.38631409786907711</v>
      </c>
      <c r="N7" s="2" t="s">
        <v>620</v>
      </c>
      <c r="O7" s="2" t="s">
        <v>621</v>
      </c>
    </row>
    <row r="8" spans="1:15" x14ac:dyDescent="0.2">
      <c r="A8" s="8">
        <v>11300</v>
      </c>
      <c r="B8" s="8" t="s">
        <v>92</v>
      </c>
      <c r="C8" s="8" t="s">
        <v>18</v>
      </c>
      <c r="D8" s="29" t="s">
        <v>3</v>
      </c>
      <c r="E8" s="75">
        <v>40866</v>
      </c>
      <c r="F8" s="285">
        <v>14361</v>
      </c>
      <c r="G8" s="285">
        <v>8381.42</v>
      </c>
      <c r="H8" s="285">
        <f t="shared" si="0"/>
        <v>2988.42</v>
      </c>
      <c r="I8" s="285">
        <f t="shared" si="1"/>
        <v>5393</v>
      </c>
      <c r="J8" s="285">
        <v>8381.42</v>
      </c>
      <c r="K8" s="286">
        <f t="shared" si="2"/>
        <v>2988.42</v>
      </c>
      <c r="L8" s="285">
        <v>5393</v>
      </c>
      <c r="M8" s="163">
        <f>K8/J8</f>
        <v>0.3565529468753505</v>
      </c>
      <c r="N8" s="2" t="s">
        <v>616</v>
      </c>
      <c r="O8" s="2" t="s">
        <v>622</v>
      </c>
    </row>
    <row r="9" spans="1:15" x14ac:dyDescent="0.2">
      <c r="A9" s="8">
        <v>11450</v>
      </c>
      <c r="B9" s="8" t="s">
        <v>76</v>
      </c>
      <c r="C9" s="8" t="s">
        <v>193</v>
      </c>
      <c r="D9" s="29" t="s">
        <v>3</v>
      </c>
      <c r="E9" s="75">
        <v>107806</v>
      </c>
      <c r="F9" s="285">
        <v>41645</v>
      </c>
      <c r="G9" s="285">
        <v>25837.360000000001</v>
      </c>
      <c r="H9" s="285">
        <f t="shared" si="0"/>
        <v>6821.0600000000013</v>
      </c>
      <c r="I9" s="285">
        <f t="shared" si="1"/>
        <v>19016.3</v>
      </c>
      <c r="J9" s="285">
        <v>25837.360000000001</v>
      </c>
      <c r="K9" s="286">
        <f t="shared" si="2"/>
        <v>6821.0600000000013</v>
      </c>
      <c r="L9" s="285">
        <v>19016.3</v>
      </c>
      <c r="M9" s="163">
        <f>K9/J9</f>
        <v>0.26399988234092031</v>
      </c>
      <c r="N9" s="2" t="s">
        <v>623</v>
      </c>
      <c r="O9" s="2" t="s">
        <v>624</v>
      </c>
    </row>
    <row r="10" spans="1:15" x14ac:dyDescent="0.2">
      <c r="A10" s="8">
        <v>11500</v>
      </c>
      <c r="B10" s="8" t="s">
        <v>53</v>
      </c>
      <c r="C10" s="8" t="s">
        <v>193</v>
      </c>
      <c r="D10" s="29" t="s">
        <v>3</v>
      </c>
      <c r="E10" s="75">
        <v>174078</v>
      </c>
      <c r="F10" s="285">
        <v>63675</v>
      </c>
      <c r="G10" s="285">
        <v>37858.54</v>
      </c>
      <c r="H10" s="285">
        <f t="shared" si="0"/>
        <v>55.379999999997381</v>
      </c>
      <c r="I10" s="285">
        <f t="shared" si="1"/>
        <v>37803.160000000003</v>
      </c>
      <c r="J10" s="285">
        <v>209.73</v>
      </c>
      <c r="K10" s="286">
        <f t="shared" si="2"/>
        <v>55.379999999999995</v>
      </c>
      <c r="L10" s="285">
        <v>154.35</v>
      </c>
      <c r="M10" s="163">
        <f t="shared" ref="M10:M29" si="3">K10/J10</f>
        <v>0.26405378343584607</v>
      </c>
      <c r="N10" s="2" t="s">
        <v>623</v>
      </c>
      <c r="O10" s="2" t="s">
        <v>624</v>
      </c>
    </row>
    <row r="11" spans="1:15" x14ac:dyDescent="0.2">
      <c r="A11" s="8">
        <v>11800</v>
      </c>
      <c r="B11" s="8" t="s">
        <v>49</v>
      </c>
      <c r="C11" s="8" t="s">
        <v>43</v>
      </c>
      <c r="D11" s="29" t="s">
        <v>4</v>
      </c>
      <c r="E11" s="75">
        <v>77648</v>
      </c>
      <c r="F11" s="285">
        <v>34645</v>
      </c>
      <c r="G11" s="285">
        <v>14239</v>
      </c>
      <c r="H11" s="285">
        <f t="shared" si="0"/>
        <v>456</v>
      </c>
      <c r="I11" s="285">
        <f t="shared" si="1"/>
        <v>13783</v>
      </c>
      <c r="J11" s="285">
        <v>14239</v>
      </c>
      <c r="K11" s="286">
        <f t="shared" si="2"/>
        <v>456</v>
      </c>
      <c r="L11" s="285">
        <v>13783</v>
      </c>
      <c r="M11" s="163">
        <f t="shared" si="3"/>
        <v>3.2024720837137442E-2</v>
      </c>
      <c r="N11" s="2" t="s">
        <v>625</v>
      </c>
      <c r="O11" s="2" t="s">
        <v>626</v>
      </c>
    </row>
    <row r="12" spans="1:15" x14ac:dyDescent="0.2">
      <c r="A12" s="8">
        <v>12380</v>
      </c>
      <c r="B12" s="8" t="s">
        <v>54</v>
      </c>
      <c r="C12" s="8" t="s">
        <v>19</v>
      </c>
      <c r="D12" s="29" t="s">
        <v>3</v>
      </c>
      <c r="E12" s="75">
        <v>242674</v>
      </c>
      <c r="F12" s="285">
        <v>76450</v>
      </c>
      <c r="G12" s="285">
        <v>67028</v>
      </c>
      <c r="H12" s="285">
        <f t="shared" si="0"/>
        <v>9404</v>
      </c>
      <c r="I12" s="285">
        <f t="shared" si="1"/>
        <v>57624</v>
      </c>
      <c r="J12" s="285">
        <v>24112</v>
      </c>
      <c r="K12" s="286">
        <f t="shared" si="2"/>
        <v>9404</v>
      </c>
      <c r="L12" s="285">
        <v>14708</v>
      </c>
      <c r="M12" s="163">
        <f t="shared" si="3"/>
        <v>0.3900132714001327</v>
      </c>
      <c r="N12" s="2" t="s">
        <v>620</v>
      </c>
      <c r="O12" s="2" t="s">
        <v>627</v>
      </c>
    </row>
    <row r="13" spans="1:15" x14ac:dyDescent="0.2">
      <c r="A13" s="8">
        <v>12930</v>
      </c>
      <c r="B13" s="8" t="s">
        <v>55</v>
      </c>
      <c r="C13" s="8" t="s">
        <v>18</v>
      </c>
      <c r="D13" s="29" t="s">
        <v>3</v>
      </c>
      <c r="E13" s="75">
        <v>160272</v>
      </c>
      <c r="F13" s="285">
        <v>61271</v>
      </c>
      <c r="G13" s="285">
        <v>32946</v>
      </c>
      <c r="H13" s="285">
        <f t="shared" si="0"/>
        <v>2032.4799999999996</v>
      </c>
      <c r="I13" s="285">
        <f t="shared" si="1"/>
        <v>30913.52</v>
      </c>
      <c r="J13" s="285">
        <v>12703</v>
      </c>
      <c r="K13" s="286">
        <v>2032.48</v>
      </c>
      <c r="L13" s="285">
        <f>J13-K13</f>
        <v>10670.52</v>
      </c>
      <c r="M13" s="163">
        <f t="shared" si="3"/>
        <v>0.16</v>
      </c>
      <c r="N13" s="2" t="s">
        <v>616</v>
      </c>
      <c r="O13" s="2"/>
    </row>
    <row r="14" spans="1:15" x14ac:dyDescent="0.2">
      <c r="A14" s="8">
        <v>14100</v>
      </c>
      <c r="B14" s="8" t="s">
        <v>56</v>
      </c>
      <c r="C14" s="8" t="s">
        <v>26</v>
      </c>
      <c r="D14" s="29" t="s">
        <v>3</v>
      </c>
      <c r="E14" s="75">
        <v>14962</v>
      </c>
      <c r="F14" s="285">
        <v>5237</v>
      </c>
      <c r="G14" s="285">
        <v>3091</v>
      </c>
      <c r="H14" s="285">
        <f t="shared" si="0"/>
        <v>538.11999999999989</v>
      </c>
      <c r="I14" s="285">
        <f t="shared" si="1"/>
        <v>2552.88</v>
      </c>
      <c r="J14" s="285">
        <v>3091</v>
      </c>
      <c r="K14" s="286">
        <f t="shared" ref="K14:K29" si="4">J14-L14</f>
        <v>538.11999999999989</v>
      </c>
      <c r="L14" s="285">
        <v>2552.88</v>
      </c>
      <c r="M14" s="163">
        <f t="shared" si="3"/>
        <v>0.17409252669039144</v>
      </c>
      <c r="N14" s="2" t="s">
        <v>616</v>
      </c>
      <c r="O14" s="2"/>
    </row>
    <row r="15" spans="1:15" x14ac:dyDescent="0.2">
      <c r="A15" s="8">
        <v>14170</v>
      </c>
      <c r="B15" s="8" t="s">
        <v>57</v>
      </c>
      <c r="C15" s="8" t="s">
        <v>18</v>
      </c>
      <c r="D15" s="29" t="s">
        <v>3</v>
      </c>
      <c r="E15" s="75">
        <v>201880</v>
      </c>
      <c r="F15" s="285">
        <v>78331</v>
      </c>
      <c r="G15" s="285">
        <v>37629.58</v>
      </c>
      <c r="H15" s="285">
        <f t="shared" si="0"/>
        <v>5013.739999999998</v>
      </c>
      <c r="I15" s="285">
        <f t="shared" si="1"/>
        <v>32615.840000000004</v>
      </c>
      <c r="J15" s="285">
        <v>21321.66</v>
      </c>
      <c r="K15" s="286">
        <f t="shared" si="4"/>
        <v>5013.74</v>
      </c>
      <c r="L15" s="285">
        <v>16307.92</v>
      </c>
      <c r="M15" s="163">
        <f t="shared" si="3"/>
        <v>0.23514773239982251</v>
      </c>
      <c r="N15" s="2" t="s">
        <v>616</v>
      </c>
      <c r="O15" s="2"/>
    </row>
    <row r="16" spans="1:15" x14ac:dyDescent="0.2">
      <c r="A16" s="8">
        <v>14500</v>
      </c>
      <c r="B16" s="8" t="s">
        <v>58</v>
      </c>
      <c r="C16" s="8" t="s">
        <v>26</v>
      </c>
      <c r="D16" s="29" t="s">
        <v>3</v>
      </c>
      <c r="E16" s="75">
        <v>127603</v>
      </c>
      <c r="F16" s="285">
        <v>44570</v>
      </c>
      <c r="G16" s="285">
        <v>23344.05</v>
      </c>
      <c r="H16" s="285">
        <f t="shared" si="0"/>
        <v>4274.75</v>
      </c>
      <c r="I16" s="285">
        <f t="shared" si="1"/>
        <v>19069.3</v>
      </c>
      <c r="J16" s="285">
        <v>11099.38</v>
      </c>
      <c r="K16" s="286">
        <f t="shared" si="4"/>
        <v>4274.7499999999991</v>
      </c>
      <c r="L16" s="285">
        <v>6824.63</v>
      </c>
      <c r="M16" s="163">
        <f t="shared" si="3"/>
        <v>0.3851341246087619</v>
      </c>
      <c r="N16" s="2" t="s">
        <v>616</v>
      </c>
      <c r="O16" s="2"/>
    </row>
    <row r="17" spans="1:15" x14ac:dyDescent="0.2">
      <c r="A17" s="8">
        <v>14700</v>
      </c>
      <c r="B17" s="8" t="s">
        <v>59</v>
      </c>
      <c r="C17" s="8" t="s">
        <v>26</v>
      </c>
      <c r="D17" s="29" t="s">
        <v>3</v>
      </c>
      <c r="E17" s="75">
        <v>40534</v>
      </c>
      <c r="F17" s="285">
        <v>18192</v>
      </c>
      <c r="G17" s="285">
        <v>7205</v>
      </c>
      <c r="H17" s="285">
        <f t="shared" si="0"/>
        <v>1072</v>
      </c>
      <c r="I17" s="285">
        <f t="shared" si="1"/>
        <v>6133</v>
      </c>
      <c r="J17" s="285">
        <v>7205</v>
      </c>
      <c r="K17" s="286">
        <f t="shared" si="4"/>
        <v>1072</v>
      </c>
      <c r="L17" s="285">
        <v>6133</v>
      </c>
      <c r="M17" s="163">
        <f t="shared" si="3"/>
        <v>0.14878556557945871</v>
      </c>
      <c r="N17" s="2" t="s">
        <v>616</v>
      </c>
      <c r="O17" s="2"/>
    </row>
    <row r="18" spans="1:15" x14ac:dyDescent="0.2">
      <c r="A18" s="8">
        <v>15700</v>
      </c>
      <c r="B18" s="8" t="s">
        <v>61</v>
      </c>
      <c r="C18" s="8" t="s">
        <v>43</v>
      </c>
      <c r="D18" s="29" t="s">
        <v>4</v>
      </c>
      <c r="E18" s="75">
        <v>19861</v>
      </c>
      <c r="F18" s="285">
        <v>10166</v>
      </c>
      <c r="G18" s="285">
        <v>3505</v>
      </c>
      <c r="H18" s="285">
        <f t="shared" si="0"/>
        <v>105.15000000000009</v>
      </c>
      <c r="I18" s="285">
        <f t="shared" si="1"/>
        <v>3399.85</v>
      </c>
      <c r="J18" s="285">
        <v>3505</v>
      </c>
      <c r="K18" s="286">
        <f t="shared" si="4"/>
        <v>105.15000000000009</v>
      </c>
      <c r="L18" s="285">
        <v>3399.85</v>
      </c>
      <c r="M18" s="163">
        <f t="shared" si="3"/>
        <v>3.0000000000000027E-2</v>
      </c>
      <c r="N18" s="2" t="s">
        <v>625</v>
      </c>
      <c r="O18" s="2" t="s">
        <v>626</v>
      </c>
    </row>
    <row r="19" spans="1:15" x14ac:dyDescent="0.2">
      <c r="A19" s="8">
        <v>15990</v>
      </c>
      <c r="B19" s="8" t="s">
        <v>148</v>
      </c>
      <c r="C19" s="8"/>
      <c r="D19" s="29" t="s">
        <v>3</v>
      </c>
      <c r="E19" s="75">
        <v>274041</v>
      </c>
      <c r="F19" s="285">
        <v>114860</v>
      </c>
      <c r="G19" s="287">
        <v>47379.5</v>
      </c>
      <c r="H19" s="285">
        <f t="shared" si="0"/>
        <v>16196.849999999999</v>
      </c>
      <c r="I19" s="285">
        <f t="shared" si="1"/>
        <v>31182.65</v>
      </c>
      <c r="J19" s="285">
        <v>47379.5</v>
      </c>
      <c r="K19" s="286">
        <f t="shared" si="4"/>
        <v>16196.849999999999</v>
      </c>
      <c r="L19" s="285">
        <v>31182.65</v>
      </c>
      <c r="M19" s="163">
        <f t="shared" si="3"/>
        <v>0.34185354425437159</v>
      </c>
      <c r="N19" s="2" t="s">
        <v>628</v>
      </c>
      <c r="O19" s="2" t="s">
        <v>629</v>
      </c>
    </row>
    <row r="20" spans="1:15" x14ac:dyDescent="0.2">
      <c r="A20" s="8">
        <v>16260</v>
      </c>
      <c r="B20" s="8" t="s">
        <v>63</v>
      </c>
      <c r="C20" s="8" t="s">
        <v>19</v>
      </c>
      <c r="D20" s="29" t="s">
        <v>3</v>
      </c>
      <c r="E20" s="75">
        <v>260296</v>
      </c>
      <c r="F20" s="285">
        <v>99188</v>
      </c>
      <c r="G20" s="285">
        <v>50420</v>
      </c>
      <c r="H20" s="285">
        <f t="shared" si="0"/>
        <v>17105</v>
      </c>
      <c r="I20" s="285">
        <f t="shared" si="1"/>
        <v>33315</v>
      </c>
      <c r="J20" s="285">
        <v>50420</v>
      </c>
      <c r="K20" s="286">
        <v>17105</v>
      </c>
      <c r="L20" s="285">
        <v>33315</v>
      </c>
      <c r="M20" s="163">
        <f t="shared" si="3"/>
        <v>0.33925029750099167</v>
      </c>
      <c r="N20" s="2" t="s">
        <v>630</v>
      </c>
      <c r="O20" s="2" t="s">
        <v>627</v>
      </c>
    </row>
    <row r="21" spans="1:15" x14ac:dyDescent="0.2">
      <c r="A21" s="8">
        <v>16350</v>
      </c>
      <c r="B21" s="8" t="s">
        <v>64</v>
      </c>
      <c r="C21" s="8" t="s">
        <v>19</v>
      </c>
      <c r="D21" s="29" t="s">
        <v>3</v>
      </c>
      <c r="E21" s="75">
        <v>216282</v>
      </c>
      <c r="F21" s="285">
        <v>81203</v>
      </c>
      <c r="G21" s="285">
        <v>34115.85</v>
      </c>
      <c r="H21" s="285">
        <f t="shared" si="0"/>
        <v>30</v>
      </c>
      <c r="I21" s="285">
        <f t="shared" si="1"/>
        <v>34085.85</v>
      </c>
      <c r="J21" s="285">
        <v>34115.85</v>
      </c>
      <c r="K21" s="286">
        <f t="shared" si="4"/>
        <v>30</v>
      </c>
      <c r="L21" s="285">
        <v>34085.85</v>
      </c>
      <c r="M21" s="163">
        <f t="shared" si="3"/>
        <v>8.7935666266559392E-4</v>
      </c>
      <c r="N21" s="2" t="s">
        <v>620</v>
      </c>
      <c r="O21" s="2" t="s">
        <v>631</v>
      </c>
    </row>
    <row r="22" spans="1:15" x14ac:dyDescent="0.2">
      <c r="A22" s="8">
        <v>16400</v>
      </c>
      <c r="B22" s="8" t="s">
        <v>65</v>
      </c>
      <c r="C22" s="8" t="s">
        <v>25</v>
      </c>
      <c r="D22" s="29" t="s">
        <v>2</v>
      </c>
      <c r="E22" s="75">
        <v>74506</v>
      </c>
      <c r="F22" s="285">
        <v>36766</v>
      </c>
      <c r="G22" s="285">
        <v>27854.75</v>
      </c>
      <c r="H22" s="285">
        <f t="shared" si="0"/>
        <v>9655.4599999999991</v>
      </c>
      <c r="I22" s="285">
        <f t="shared" si="1"/>
        <v>18199.29</v>
      </c>
      <c r="J22" s="285">
        <v>27854.75</v>
      </c>
      <c r="K22" s="286">
        <f t="shared" si="4"/>
        <v>9655.4599999999991</v>
      </c>
      <c r="L22" s="285">
        <v>18199.29</v>
      </c>
      <c r="M22" s="163">
        <f t="shared" si="3"/>
        <v>0.34663603155655676</v>
      </c>
      <c r="N22" s="2" t="s">
        <v>620</v>
      </c>
      <c r="O22" s="2" t="s">
        <v>632</v>
      </c>
    </row>
    <row r="23" spans="1:15" x14ac:dyDescent="0.2">
      <c r="A23" s="8">
        <v>16550</v>
      </c>
      <c r="B23" s="8" t="s">
        <v>66</v>
      </c>
      <c r="C23" s="8" t="s">
        <v>18</v>
      </c>
      <c r="D23" s="29" t="s">
        <v>3</v>
      </c>
      <c r="E23" s="75">
        <v>156619</v>
      </c>
      <c r="F23" s="285">
        <v>59726</v>
      </c>
      <c r="G23" s="285">
        <v>25421</v>
      </c>
      <c r="H23" s="285">
        <f t="shared" si="0"/>
        <v>7652</v>
      </c>
      <c r="I23" s="285">
        <f t="shared" si="1"/>
        <v>17769</v>
      </c>
      <c r="J23" s="285">
        <v>25421</v>
      </c>
      <c r="K23" s="286">
        <f t="shared" si="4"/>
        <v>7652</v>
      </c>
      <c r="L23" s="285">
        <v>17769</v>
      </c>
      <c r="M23" s="163">
        <f t="shared" si="3"/>
        <v>0.30101097517800246</v>
      </c>
      <c r="N23" s="2" t="s">
        <v>633</v>
      </c>
      <c r="O23" s="2" t="s">
        <v>634</v>
      </c>
    </row>
    <row r="24" spans="1:15" x14ac:dyDescent="0.2">
      <c r="A24" s="8">
        <v>16700</v>
      </c>
      <c r="B24" s="8" t="s">
        <v>67</v>
      </c>
      <c r="C24" s="8" t="s">
        <v>26</v>
      </c>
      <c r="D24" s="29" t="s">
        <v>3</v>
      </c>
      <c r="E24" s="75">
        <v>133224</v>
      </c>
      <c r="F24" s="285">
        <v>51509</v>
      </c>
      <c r="G24" s="285">
        <v>26016.74</v>
      </c>
      <c r="H24" s="285">
        <f t="shared" si="0"/>
        <v>4037.4000000000015</v>
      </c>
      <c r="I24" s="285">
        <f t="shared" si="1"/>
        <v>21979.34</v>
      </c>
      <c r="J24" s="285">
        <v>11216.44</v>
      </c>
      <c r="K24" s="286">
        <f t="shared" si="4"/>
        <v>4037.4000000000005</v>
      </c>
      <c r="L24" s="285">
        <v>7179.04</v>
      </c>
      <c r="M24" s="163">
        <f t="shared" si="3"/>
        <v>0.3599537821269494</v>
      </c>
      <c r="N24" s="2" t="s">
        <v>616</v>
      </c>
      <c r="O24" s="2"/>
    </row>
    <row r="25" spans="1:15" x14ac:dyDescent="0.2">
      <c r="A25" s="8">
        <v>17200</v>
      </c>
      <c r="B25" s="8" t="s">
        <v>68</v>
      </c>
      <c r="C25" s="8" t="s">
        <v>18</v>
      </c>
      <c r="D25" s="29" t="s">
        <v>3</v>
      </c>
      <c r="E25" s="75">
        <v>248736</v>
      </c>
      <c r="F25" s="285">
        <v>130963</v>
      </c>
      <c r="G25" s="285">
        <v>44582</v>
      </c>
      <c r="H25" s="285">
        <f t="shared" si="0"/>
        <v>13465</v>
      </c>
      <c r="I25" s="285">
        <f t="shared" si="1"/>
        <v>31117</v>
      </c>
      <c r="J25" s="285">
        <v>44582</v>
      </c>
      <c r="K25" s="286">
        <f t="shared" si="4"/>
        <v>13465</v>
      </c>
      <c r="L25" s="285">
        <v>31117</v>
      </c>
      <c r="M25" s="163">
        <f t="shared" si="3"/>
        <v>0.30202772419362073</v>
      </c>
      <c r="N25" s="2" t="s">
        <v>620</v>
      </c>
      <c r="O25" s="2" t="s">
        <v>621</v>
      </c>
    </row>
    <row r="26" spans="1:15" x14ac:dyDescent="0.2">
      <c r="A26" s="8">
        <v>18050</v>
      </c>
      <c r="B26" s="8" t="s">
        <v>69</v>
      </c>
      <c r="C26" s="8" t="s">
        <v>18</v>
      </c>
      <c r="D26" s="29" t="s">
        <v>3</v>
      </c>
      <c r="E26" s="75">
        <v>74276</v>
      </c>
      <c r="F26" s="285">
        <v>29754</v>
      </c>
      <c r="G26" s="285">
        <v>14487</v>
      </c>
      <c r="H26" s="285">
        <f t="shared" si="0"/>
        <v>5166</v>
      </c>
      <c r="I26" s="285">
        <f t="shared" si="1"/>
        <v>9321</v>
      </c>
      <c r="J26" s="285">
        <v>14487</v>
      </c>
      <c r="K26" s="286">
        <f t="shared" si="4"/>
        <v>5166</v>
      </c>
      <c r="L26" s="285">
        <v>9321</v>
      </c>
      <c r="M26" s="163">
        <f t="shared" si="3"/>
        <v>0.35659556844067097</v>
      </c>
      <c r="N26" s="2" t="s">
        <v>616</v>
      </c>
      <c r="O26" s="2" t="s">
        <v>635</v>
      </c>
    </row>
    <row r="27" spans="1:15" x14ac:dyDescent="0.2">
      <c r="A27" s="8">
        <v>18250</v>
      </c>
      <c r="B27" s="8" t="s">
        <v>70</v>
      </c>
      <c r="C27" s="8" t="s">
        <v>26</v>
      </c>
      <c r="D27" s="29" t="s">
        <v>3</v>
      </c>
      <c r="E27" s="75">
        <v>81196</v>
      </c>
      <c r="F27" s="285">
        <v>32319</v>
      </c>
      <c r="G27" s="285">
        <v>15042.12</v>
      </c>
      <c r="H27" s="285">
        <f t="shared" si="0"/>
        <v>2291.6000000000004</v>
      </c>
      <c r="I27" s="285">
        <f t="shared" si="1"/>
        <v>12750.52</v>
      </c>
      <c r="J27" s="285">
        <v>6365.13</v>
      </c>
      <c r="K27" s="286">
        <f t="shared" si="4"/>
        <v>2291.6</v>
      </c>
      <c r="L27" s="285">
        <v>4073.53</v>
      </c>
      <c r="M27" s="163">
        <f t="shared" si="3"/>
        <v>0.36002406863646147</v>
      </c>
      <c r="N27" s="2" t="s">
        <v>616</v>
      </c>
      <c r="O27" s="2"/>
    </row>
    <row r="28" spans="1:15" x14ac:dyDescent="0.2">
      <c r="A28" s="8">
        <v>18350</v>
      </c>
      <c r="B28" s="8" t="s">
        <v>71</v>
      </c>
      <c r="C28" s="8" t="s">
        <v>74</v>
      </c>
      <c r="D28" s="29" t="s">
        <v>2</v>
      </c>
      <c r="E28" s="75">
        <v>51760</v>
      </c>
      <c r="F28" s="285">
        <v>20791</v>
      </c>
      <c r="G28" s="285">
        <v>8343.68</v>
      </c>
      <c r="H28" s="285">
        <f t="shared" si="0"/>
        <v>8.3400000000001455</v>
      </c>
      <c r="I28" s="285">
        <f t="shared" si="1"/>
        <v>8335.34</v>
      </c>
      <c r="J28" s="285">
        <v>8343.68</v>
      </c>
      <c r="K28" s="286">
        <f t="shared" si="4"/>
        <v>8.3400000000001455</v>
      </c>
      <c r="L28" s="285">
        <v>8335.34</v>
      </c>
      <c r="M28" s="163">
        <f t="shared" si="3"/>
        <v>9.9955894761066398E-4</v>
      </c>
      <c r="N28" s="2" t="s">
        <v>630</v>
      </c>
      <c r="O28" s="2" t="s">
        <v>636</v>
      </c>
    </row>
    <row r="29" spans="1:15" ht="13.5" thickBot="1" x14ac:dyDescent="0.25">
      <c r="A29" s="8">
        <v>18500</v>
      </c>
      <c r="B29" s="8" t="s">
        <v>72</v>
      </c>
      <c r="C29" s="8" t="s">
        <v>18</v>
      </c>
      <c r="D29" s="29" t="s">
        <v>3</v>
      </c>
      <c r="E29" s="75">
        <v>59431</v>
      </c>
      <c r="F29" s="285">
        <v>26397</v>
      </c>
      <c r="G29" s="285">
        <v>11087.37</v>
      </c>
      <c r="H29" s="285">
        <f t="shared" si="0"/>
        <v>1719.3700000000008</v>
      </c>
      <c r="I29" s="285">
        <f t="shared" si="1"/>
        <v>9368</v>
      </c>
      <c r="J29" s="285">
        <v>11087.37</v>
      </c>
      <c r="K29" s="286">
        <f t="shared" si="4"/>
        <v>1719.3700000000008</v>
      </c>
      <c r="L29" s="285">
        <v>9368</v>
      </c>
      <c r="M29" s="163">
        <f t="shared" si="3"/>
        <v>0.15507464800038248</v>
      </c>
      <c r="N29" s="2" t="s">
        <v>616</v>
      </c>
      <c r="O29" s="2" t="s">
        <v>637</v>
      </c>
    </row>
    <row r="30" spans="1:15" ht="13.5" thickTop="1" x14ac:dyDescent="0.2">
      <c r="A30" s="77"/>
      <c r="B30" s="20"/>
      <c r="C30" s="11" t="s">
        <v>30</v>
      </c>
      <c r="D30" s="11"/>
      <c r="E30" s="249">
        <f t="shared" ref="E30:M30" si="5">COUNTIF(E5:E29,"&gt;0")</f>
        <v>25</v>
      </c>
      <c r="F30" s="249">
        <f t="shared" si="5"/>
        <v>25</v>
      </c>
      <c r="G30" s="249">
        <f t="shared" si="5"/>
        <v>25</v>
      </c>
      <c r="H30" s="249">
        <f t="shared" si="5"/>
        <v>25</v>
      </c>
      <c r="I30" s="249">
        <f t="shared" si="5"/>
        <v>25</v>
      </c>
      <c r="J30" s="249">
        <f t="shared" si="5"/>
        <v>25</v>
      </c>
      <c r="K30" s="249">
        <f t="shared" si="5"/>
        <v>25</v>
      </c>
      <c r="L30" s="249">
        <f t="shared" si="5"/>
        <v>25</v>
      </c>
      <c r="M30" s="249">
        <f t="shared" si="5"/>
        <v>25</v>
      </c>
    </row>
    <row r="31" spans="1:15" x14ac:dyDescent="0.2">
      <c r="A31" s="79"/>
      <c r="B31" s="14"/>
      <c r="C31" s="8" t="s">
        <v>31</v>
      </c>
      <c r="D31" s="8"/>
      <c r="E31" s="288">
        <f t="shared" ref="E31:L31" si="6">SUM(E5:E29)</f>
        <v>3415995</v>
      </c>
      <c r="F31" s="288">
        <f t="shared" si="6"/>
        <v>1348800</v>
      </c>
      <c r="G31" s="288">
        <f t="shared" si="6"/>
        <v>727504.06</v>
      </c>
      <c r="H31" s="288">
        <f t="shared" si="6"/>
        <v>171900.25999999998</v>
      </c>
      <c r="I31" s="288">
        <f t="shared" si="6"/>
        <v>555603.79999999993</v>
      </c>
      <c r="J31" s="288">
        <f t="shared" si="6"/>
        <v>574666.37</v>
      </c>
      <c r="K31" s="288">
        <f t="shared" si="6"/>
        <v>171900.25999999998</v>
      </c>
      <c r="L31" s="288">
        <f t="shared" si="6"/>
        <v>402766.11</v>
      </c>
      <c r="M31" s="289">
        <f t="shared" ref="M31" si="7">K31/J31</f>
        <v>0.29913053725416361</v>
      </c>
    </row>
    <row r="32" spans="1:15" x14ac:dyDescent="0.2">
      <c r="A32" s="79"/>
      <c r="B32" s="14"/>
      <c r="C32" s="8" t="s">
        <v>32</v>
      </c>
      <c r="D32" s="8"/>
      <c r="E32" s="290">
        <f t="shared" ref="E32:L32" si="8">MIN(E5:E29)</f>
        <v>13141</v>
      </c>
      <c r="F32" s="290">
        <f t="shared" si="8"/>
        <v>5237</v>
      </c>
      <c r="G32" s="290">
        <f t="shared" si="8"/>
        <v>1541.1</v>
      </c>
      <c r="H32" s="290">
        <f t="shared" si="8"/>
        <v>8.3400000000001455</v>
      </c>
      <c r="I32" s="290">
        <f t="shared" si="8"/>
        <v>1494.87</v>
      </c>
      <c r="J32" s="290">
        <f t="shared" si="8"/>
        <v>209.73</v>
      </c>
      <c r="K32" s="290">
        <f t="shared" si="8"/>
        <v>8.3400000000001455</v>
      </c>
      <c r="L32" s="290">
        <f t="shared" si="8"/>
        <v>154.35</v>
      </c>
      <c r="M32" s="290"/>
    </row>
    <row r="33" spans="1:13" x14ac:dyDescent="0.2">
      <c r="A33" s="79"/>
      <c r="B33" s="14"/>
      <c r="C33" s="8" t="s">
        <v>33</v>
      </c>
      <c r="D33" s="8"/>
      <c r="E33" s="290">
        <f t="shared" ref="E33:L33" si="9">MAX(E5:E29)</f>
        <v>382831</v>
      </c>
      <c r="F33" s="290">
        <f t="shared" si="9"/>
        <v>144115</v>
      </c>
      <c r="G33" s="290">
        <f t="shared" si="9"/>
        <v>116053</v>
      </c>
      <c r="H33" s="290">
        <f t="shared" si="9"/>
        <v>44832.91</v>
      </c>
      <c r="I33" s="290">
        <f t="shared" si="9"/>
        <v>71220.09</v>
      </c>
      <c r="J33" s="290">
        <f t="shared" si="9"/>
        <v>116053</v>
      </c>
      <c r="K33" s="290">
        <f t="shared" si="9"/>
        <v>44832.91</v>
      </c>
      <c r="L33" s="290">
        <f t="shared" si="9"/>
        <v>71220.09</v>
      </c>
      <c r="M33" s="290"/>
    </row>
    <row r="34" spans="1:13" x14ac:dyDescent="0.2">
      <c r="A34" s="79"/>
      <c r="B34" s="14"/>
      <c r="C34" s="8" t="s">
        <v>34</v>
      </c>
      <c r="D34" s="8"/>
      <c r="E34" s="290">
        <f t="shared" ref="E34:L34" si="10">AVERAGE(E5:E29)</f>
        <v>136639.79999999999</v>
      </c>
      <c r="F34" s="290">
        <f t="shared" si="10"/>
        <v>53952</v>
      </c>
      <c r="G34" s="290">
        <f t="shared" si="10"/>
        <v>29100.162400000001</v>
      </c>
      <c r="H34" s="290">
        <f t="shared" si="10"/>
        <v>6876.0103999999992</v>
      </c>
      <c r="I34" s="290">
        <f t="shared" si="10"/>
        <v>22224.151999999998</v>
      </c>
      <c r="J34" s="290">
        <f t="shared" si="10"/>
        <v>22986.6548</v>
      </c>
      <c r="K34" s="290">
        <f t="shared" si="10"/>
        <v>6876.0103999999992</v>
      </c>
      <c r="L34" s="290">
        <f t="shared" si="10"/>
        <v>16110.644399999999</v>
      </c>
      <c r="M34" s="290"/>
    </row>
    <row r="35" spans="1:13" ht="13.5" thickBot="1" x14ac:dyDescent="0.25">
      <c r="A35" s="79"/>
      <c r="B35" s="17"/>
      <c r="C35" s="16" t="s">
        <v>35</v>
      </c>
      <c r="D35" s="16"/>
      <c r="E35" s="291">
        <f t="shared" ref="E35:L35" si="11">MEDIAN(E5:E29)</f>
        <v>127603</v>
      </c>
      <c r="F35" s="291">
        <f t="shared" si="11"/>
        <v>44570</v>
      </c>
      <c r="G35" s="291">
        <f t="shared" si="11"/>
        <v>25837.360000000001</v>
      </c>
      <c r="H35" s="291">
        <f t="shared" si="11"/>
        <v>4037.4000000000015</v>
      </c>
      <c r="I35" s="291">
        <f t="shared" si="11"/>
        <v>19016.3</v>
      </c>
      <c r="J35" s="291">
        <f t="shared" si="11"/>
        <v>14239</v>
      </c>
      <c r="K35" s="291">
        <f t="shared" si="11"/>
        <v>4037.4000000000005</v>
      </c>
      <c r="L35" s="291">
        <f t="shared" si="11"/>
        <v>10670.52</v>
      </c>
      <c r="M35" s="291"/>
    </row>
    <row r="36" spans="1:13" ht="13.5" thickTop="1" x14ac:dyDescent="0.2"/>
  </sheetData>
  <mergeCells count="3">
    <mergeCell ref="A1:F1"/>
    <mergeCell ref="G3:I3"/>
    <mergeCell ref="J3:L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EBD7-A394-4C7B-A47B-4554D1B2B52C}">
  <dimension ref="A1:V75"/>
  <sheetViews>
    <sheetView workbookViewId="0">
      <selection activeCell="B31" sqref="B31"/>
    </sheetView>
  </sheetViews>
  <sheetFormatPr defaultColWidth="9.140625" defaultRowHeight="11.25" x14ac:dyDescent="0.2"/>
  <cols>
    <col min="1" max="1" width="12.85546875" style="153" bestFit="1" customWidth="1"/>
    <col min="2" max="2" width="11.140625" style="153" bestFit="1" customWidth="1"/>
    <col min="3" max="3" width="10.7109375" style="153" bestFit="1" customWidth="1"/>
    <col min="4" max="4" width="9" style="153" bestFit="1" customWidth="1"/>
    <col min="5" max="5" width="15" style="153" bestFit="1" customWidth="1"/>
    <col min="6" max="6" width="1.7109375" style="153" customWidth="1"/>
    <col min="7" max="7" width="20.42578125" style="153" bestFit="1" customWidth="1"/>
    <col min="8" max="8" width="11.140625" style="153" bestFit="1" customWidth="1"/>
    <col min="9" max="9" width="11.28515625" style="153" bestFit="1" customWidth="1"/>
    <col min="10" max="11" width="10" style="153" bestFit="1" customWidth="1"/>
    <col min="12" max="12" width="11.140625" style="153" bestFit="1" customWidth="1"/>
    <col min="13" max="16384" width="9.140625" style="153"/>
  </cols>
  <sheetData>
    <row r="1" spans="1:18" s="133" customFormat="1" ht="33.75" customHeight="1" x14ac:dyDescent="0.2">
      <c r="A1" s="599" t="s">
        <v>759</v>
      </c>
      <c r="B1" s="599"/>
      <c r="C1" s="599"/>
      <c r="D1" s="599"/>
      <c r="E1" s="599"/>
      <c r="F1" s="599"/>
      <c r="G1" s="599" t="s">
        <v>759</v>
      </c>
      <c r="H1" s="599"/>
      <c r="I1" s="599"/>
      <c r="J1" s="599"/>
      <c r="K1" s="599"/>
      <c r="L1" s="600"/>
    </row>
    <row r="2" spans="1:18" ht="5.25" customHeight="1" x14ac:dyDescent="0.2"/>
    <row r="3" spans="1:18" ht="12.75" x14ac:dyDescent="0.2">
      <c r="A3" s="601" t="s">
        <v>760</v>
      </c>
      <c r="B3" s="601"/>
      <c r="C3" s="601"/>
      <c r="D3" s="601"/>
      <c r="E3" s="601"/>
      <c r="F3" s="601"/>
      <c r="G3" s="602" t="s">
        <v>761</v>
      </c>
      <c r="H3" s="602"/>
      <c r="I3" s="602"/>
      <c r="J3" s="602"/>
      <c r="K3" s="602"/>
      <c r="L3" s="602"/>
      <c r="N3" s="324"/>
      <c r="O3" s="324"/>
    </row>
    <row r="4" spans="1:18" ht="12" x14ac:dyDescent="0.2">
      <c r="G4" s="545"/>
      <c r="H4" s="546" t="s">
        <v>8</v>
      </c>
      <c r="I4" s="546" t="s">
        <v>9</v>
      </c>
      <c r="J4" s="546" t="s">
        <v>10</v>
      </c>
      <c r="K4" s="546" t="s">
        <v>11</v>
      </c>
      <c r="L4" s="546" t="s">
        <v>762</v>
      </c>
      <c r="N4" s="324"/>
      <c r="O4" s="324"/>
    </row>
    <row r="5" spans="1:18" ht="12" x14ac:dyDescent="0.2">
      <c r="A5" s="547" t="s">
        <v>763</v>
      </c>
      <c r="B5" s="548" t="s">
        <v>611</v>
      </c>
      <c r="C5" s="548" t="s">
        <v>744</v>
      </c>
      <c r="D5" s="548" t="s">
        <v>613</v>
      </c>
      <c r="E5" s="549" t="s">
        <v>549</v>
      </c>
      <c r="G5" s="550" t="s">
        <v>13</v>
      </c>
      <c r="H5" s="551">
        <v>152</v>
      </c>
      <c r="I5" s="551">
        <v>38</v>
      </c>
      <c r="J5" s="551">
        <v>13</v>
      </c>
      <c r="K5" s="551">
        <v>21</v>
      </c>
      <c r="L5" s="551">
        <v>80</v>
      </c>
      <c r="N5" s="324"/>
      <c r="O5" s="324"/>
    </row>
    <row r="6" spans="1:18" ht="6" customHeight="1" x14ac:dyDescent="0.2">
      <c r="A6" s="552"/>
      <c r="B6" s="552"/>
      <c r="C6" s="552"/>
      <c r="D6" s="552"/>
      <c r="E6" s="552"/>
      <c r="N6" s="324"/>
      <c r="O6" s="324"/>
    </row>
    <row r="7" spans="1:18" ht="12" x14ac:dyDescent="0.2">
      <c r="A7" s="547" t="s">
        <v>543</v>
      </c>
      <c r="B7" s="548">
        <f>SUM(B8:B11)</f>
        <v>827959.64061781368</v>
      </c>
      <c r="C7" s="548">
        <f>SUM(C8:C11)</f>
        <v>759223.33061781363</v>
      </c>
      <c r="D7" s="548">
        <f>SUM(D8:D11)</f>
        <v>68736.31</v>
      </c>
      <c r="E7" s="549">
        <f>C7/B7</f>
        <v>0.91698108624146235</v>
      </c>
      <c r="G7" s="553" t="s">
        <v>764</v>
      </c>
      <c r="H7" s="554">
        <f>'App 1 - Services'!F134</f>
        <v>8166571</v>
      </c>
      <c r="I7" s="555">
        <f>'App 1 - Services'!F175</f>
        <v>4820381</v>
      </c>
      <c r="J7" s="555">
        <f>'App 1 - Services'!F197</f>
        <v>1488909</v>
      </c>
      <c r="K7" s="555">
        <f>'App 1 - Services'!F226</f>
        <v>824731</v>
      </c>
      <c r="L7" s="555">
        <f>'App 1 - Services'!F303</f>
        <v>1032550</v>
      </c>
      <c r="O7" s="556" t="s">
        <v>765</v>
      </c>
      <c r="P7" s="556" t="s">
        <v>766</v>
      </c>
      <c r="Q7" s="556" t="s">
        <v>544</v>
      </c>
      <c r="R7" s="556" t="s">
        <v>0</v>
      </c>
    </row>
    <row r="8" spans="1:18" ht="12" x14ac:dyDescent="0.2">
      <c r="A8" s="557" t="s">
        <v>9</v>
      </c>
      <c r="B8" s="558">
        <f>'App 3 - Recycling Rate'!F136</f>
        <v>381094.51831079641</v>
      </c>
      <c r="C8" s="558">
        <f>'App 3 - Recycling Rate'!G136</f>
        <v>345743.72831079649</v>
      </c>
      <c r="D8" s="558">
        <f>'App 3 - Recycling Rate'!H136</f>
        <v>35350.789999999994</v>
      </c>
      <c r="E8" s="559">
        <f>C8/B8</f>
        <v>0.90723878643888001</v>
      </c>
      <c r="G8" s="553" t="s">
        <v>767</v>
      </c>
      <c r="H8" s="554">
        <f>'App 1 - Services'!G134</f>
        <v>3366330</v>
      </c>
      <c r="I8" s="555">
        <f>'App 1 - Services'!G175</f>
        <v>1832610</v>
      </c>
      <c r="J8" s="555">
        <f>'App 1 - Services'!G197</f>
        <v>631285</v>
      </c>
      <c r="K8" s="555">
        <f>'App 1 - Services'!G226</f>
        <v>379256</v>
      </c>
      <c r="L8" s="555">
        <f>'App 1 - Services'!G303</f>
        <v>523179</v>
      </c>
      <c r="O8" s="560">
        <f>B19</f>
        <v>2353185.69</v>
      </c>
      <c r="P8" s="560">
        <f>B7</f>
        <v>827959.64061781368</v>
      </c>
      <c r="Q8" s="560">
        <f>B13</f>
        <v>863221.5299999998</v>
      </c>
      <c r="R8" s="560">
        <f>B25</f>
        <v>4044366.8606178137</v>
      </c>
    </row>
    <row r="9" spans="1:18" ht="12" x14ac:dyDescent="0.2">
      <c r="A9" s="557" t="s">
        <v>10</v>
      </c>
      <c r="B9" s="558">
        <f>'App 3 - Recycling Rate'!F137</f>
        <v>175770.75414779875</v>
      </c>
      <c r="C9" s="558">
        <f>'App 3 - Recycling Rate'!G137</f>
        <v>161926.55414779874</v>
      </c>
      <c r="D9" s="558">
        <f>'App 3 - Recycling Rate'!H137</f>
        <v>13844.2</v>
      </c>
      <c r="E9" s="559">
        <f>C9/B9</f>
        <v>0.92123718153727119</v>
      </c>
      <c r="G9" s="561" t="s">
        <v>768</v>
      </c>
      <c r="H9" s="562">
        <f>'App 1 - Services'!M134</f>
        <v>2941253.01</v>
      </c>
      <c r="I9" s="563">
        <f>'App 1 - Services'!M175</f>
        <v>1640326</v>
      </c>
      <c r="J9" s="563">
        <f>'App 1 - Services'!M197</f>
        <v>574742</v>
      </c>
      <c r="K9" s="563">
        <f>'App 1 - Services'!M226</f>
        <v>325279.01</v>
      </c>
      <c r="L9" s="563">
        <f>'App 1 - Services'!M303</f>
        <v>400906</v>
      </c>
    </row>
    <row r="10" spans="1:18" ht="12.75" x14ac:dyDescent="0.2">
      <c r="A10" s="557" t="s">
        <v>11</v>
      </c>
      <c r="B10" s="558">
        <f>'App 3 - Recycling Rate'!F138</f>
        <v>116156.70606409617</v>
      </c>
      <c r="C10" s="558">
        <f>'App 3 - Recycling Rate'!G138</f>
        <v>108166.56606409616</v>
      </c>
      <c r="D10" s="558">
        <f>'App 3 - Recycling Rate'!H138</f>
        <v>7990.1400000000012</v>
      </c>
      <c r="E10" s="559">
        <f>C10/B10</f>
        <v>0.93121240890223766</v>
      </c>
      <c r="G10" s="602" t="s">
        <v>769</v>
      </c>
      <c r="H10" s="602"/>
      <c r="I10" s="602"/>
      <c r="J10" s="602"/>
      <c r="K10" s="602"/>
      <c r="L10" s="602"/>
    </row>
    <row r="11" spans="1:18" ht="12" x14ac:dyDescent="0.2">
      <c r="A11" s="557" t="s">
        <v>762</v>
      </c>
      <c r="B11" s="558">
        <f>'App 3 - Recycling Rate'!F139</f>
        <v>154937.66209512227</v>
      </c>
      <c r="C11" s="558">
        <f>'App 3 - Recycling Rate'!G139</f>
        <v>143386.48209512228</v>
      </c>
      <c r="D11" s="558">
        <f>'App 3 - Recycling Rate'!H139</f>
        <v>11551.18</v>
      </c>
      <c r="E11" s="559">
        <f>C11/B11</f>
        <v>0.92544627404466528</v>
      </c>
      <c r="G11" s="564" t="s">
        <v>770</v>
      </c>
      <c r="H11" s="565"/>
      <c r="I11" s="565"/>
      <c r="J11" s="565"/>
      <c r="K11" s="565"/>
      <c r="L11" s="565"/>
    </row>
    <row r="12" spans="1:18" ht="12" x14ac:dyDescent="0.2">
      <c r="A12" s="566"/>
      <c r="B12" s="567"/>
      <c r="C12" s="567"/>
      <c r="D12" s="567"/>
      <c r="E12" s="568"/>
      <c r="G12" s="569" t="s">
        <v>729</v>
      </c>
      <c r="H12" s="570">
        <f>SUM(I12:L12)</f>
        <v>563595.23</v>
      </c>
      <c r="I12" s="571">
        <f>'App 4 - Recyclables'!F137</f>
        <v>307935.63999999996</v>
      </c>
      <c r="J12" s="571">
        <f>'App 4 - Recyclables'!F138</f>
        <v>117830.15</v>
      </c>
      <c r="K12" s="571">
        <f>'App 4 - Recyclables'!F139</f>
        <v>70102.340000000011</v>
      </c>
      <c r="L12" s="571">
        <f>'App 4 - Recyclables'!F140</f>
        <v>67727.099999999991</v>
      </c>
    </row>
    <row r="13" spans="1:18" ht="12" x14ac:dyDescent="0.2">
      <c r="A13" s="547" t="s">
        <v>544</v>
      </c>
      <c r="B13" s="548">
        <f>SUM(B14:B17)</f>
        <v>863221.5299999998</v>
      </c>
      <c r="C13" s="548">
        <f>SUM(C14:C17)</f>
        <v>846827.06999999983</v>
      </c>
      <c r="D13" s="548">
        <f>SUM(D14:D17)</f>
        <v>16394.28</v>
      </c>
      <c r="E13" s="549">
        <f>C13/B13</f>
        <v>0.98100781846810525</v>
      </c>
      <c r="G13" s="569" t="s">
        <v>730</v>
      </c>
      <c r="H13" s="570">
        <f>SUM(I13:L13)</f>
        <v>107773.56</v>
      </c>
      <c r="I13" s="571">
        <f>'App 4 - Recyclables'!N137</f>
        <v>3251.07</v>
      </c>
      <c r="J13" s="571">
        <f>'App 4 - Recyclables'!N138</f>
        <v>22543.53</v>
      </c>
      <c r="K13" s="571">
        <f>'App 4 - Recyclables'!N139</f>
        <v>24038.21</v>
      </c>
      <c r="L13" s="571">
        <f>'App 4 - Recyclables'!N140</f>
        <v>57940.75</v>
      </c>
    </row>
    <row r="14" spans="1:18" ht="12" x14ac:dyDescent="0.2">
      <c r="A14" s="557" t="s">
        <v>9</v>
      </c>
      <c r="B14" s="558">
        <f>'App 3 - Recycling Rate'!I136</f>
        <v>346993.47999999992</v>
      </c>
      <c r="C14" s="558">
        <f>'App 3 - Recycling Rate'!J136</f>
        <v>343526.48999999993</v>
      </c>
      <c r="D14" s="558">
        <f>'App 3 - Recycling Rate'!K136</f>
        <v>3466.99</v>
      </c>
      <c r="E14" s="559">
        <f>C14/B14</f>
        <v>0.99000848661479179</v>
      </c>
      <c r="G14" s="569" t="s">
        <v>731</v>
      </c>
      <c r="H14" s="570">
        <f>SUM(I14:L14)</f>
        <v>20523.82</v>
      </c>
      <c r="I14" s="571">
        <f>'App 4 - Recyclables'!R137</f>
        <v>13747.43</v>
      </c>
      <c r="J14" s="571">
        <f>'App 4 - Recyclables'!R138</f>
        <v>3594.81</v>
      </c>
      <c r="K14" s="571">
        <f>'App 4 - Recyclables'!R139</f>
        <v>1661.85</v>
      </c>
      <c r="L14" s="571">
        <f>'App 4 - Recyclables'!R140</f>
        <v>1519.7299999999998</v>
      </c>
    </row>
    <row r="15" spans="1:18" ht="12" x14ac:dyDescent="0.2">
      <c r="A15" s="557" t="s">
        <v>10</v>
      </c>
      <c r="B15" s="558">
        <f>'App 3 - Recycling Rate'!I137</f>
        <v>215516.38</v>
      </c>
      <c r="C15" s="558">
        <f>'App 3 - Recycling Rate'!J137</f>
        <v>213910.14</v>
      </c>
      <c r="D15" s="558">
        <f>'App 3 - Recycling Rate'!K137</f>
        <v>1606.24</v>
      </c>
      <c r="E15" s="559">
        <f>C15/B15</f>
        <v>0.99254701661191602</v>
      </c>
      <c r="G15" s="547" t="s">
        <v>771</v>
      </c>
      <c r="H15" s="572">
        <f>SUM(I15:L15)</f>
        <v>691892.61</v>
      </c>
      <c r="I15" s="572">
        <f>SUM(I12:I14)</f>
        <v>324934.13999999996</v>
      </c>
      <c r="J15" s="572">
        <f>SUM(J12:J14)</f>
        <v>143968.49</v>
      </c>
      <c r="K15" s="572">
        <f>SUM(K12:K14)</f>
        <v>95802.400000000023</v>
      </c>
      <c r="L15" s="572">
        <f>SUM(L12:L14)</f>
        <v>127187.57999999999</v>
      </c>
    </row>
    <row r="16" spans="1:18" ht="12" x14ac:dyDescent="0.2">
      <c r="A16" s="557" t="s">
        <v>11</v>
      </c>
      <c r="B16" s="558">
        <f>'App 3 - Recycling Rate'!I138</f>
        <v>134995.94</v>
      </c>
      <c r="C16" s="558">
        <f>'App 3 - Recycling Rate'!J138</f>
        <v>133782.65</v>
      </c>
      <c r="D16" s="558">
        <f>'App 3 - Recycling Rate'!K138</f>
        <v>1213.29</v>
      </c>
      <c r="E16" s="559">
        <f>C16/B16</f>
        <v>0.99101239637280936</v>
      </c>
      <c r="G16" s="551"/>
      <c r="H16" s="573"/>
      <c r="I16" s="573"/>
      <c r="J16" s="573"/>
      <c r="K16" s="573"/>
      <c r="L16" s="573"/>
    </row>
    <row r="17" spans="1:12" ht="12" x14ac:dyDescent="0.2">
      <c r="A17" s="557" t="s">
        <v>762</v>
      </c>
      <c r="B17" s="558">
        <f>'App 3 - Recycling Rate'!I139</f>
        <v>165715.73000000001</v>
      </c>
      <c r="C17" s="558">
        <f>'App 3 - Recycling Rate'!J139</f>
        <v>155607.78999999998</v>
      </c>
      <c r="D17" s="558">
        <f>'App 3 - Recycling Rate'!K139</f>
        <v>10107.759999999998</v>
      </c>
      <c r="E17" s="559">
        <f>C17/B17</f>
        <v>0.93900434195353677</v>
      </c>
      <c r="G17" s="574" t="s">
        <v>772</v>
      </c>
      <c r="H17" s="575">
        <f>(H15*1000)/H7</f>
        <v>84.722536545632181</v>
      </c>
      <c r="I17" s="575">
        <f>(I15*1000)/I7</f>
        <v>67.40839365187108</v>
      </c>
      <c r="J17" s="575">
        <f>(J15*1000)/J7</f>
        <v>96.693948387712069</v>
      </c>
      <c r="K17" s="575">
        <f>(K15*1000)/K7</f>
        <v>116.16199706328491</v>
      </c>
      <c r="L17" s="575">
        <f>(L15*1000)/L7</f>
        <v>123.17813180959759</v>
      </c>
    </row>
    <row r="18" spans="1:12" ht="12" x14ac:dyDescent="0.2">
      <c r="A18" s="566"/>
      <c r="B18" s="567"/>
      <c r="C18" s="567"/>
      <c r="D18" s="567"/>
      <c r="E18" s="576"/>
      <c r="G18" s="574" t="s">
        <v>773</v>
      </c>
      <c r="H18" s="575">
        <f>H17/52</f>
        <v>1.6292795489544649</v>
      </c>
      <c r="I18" s="575">
        <f>I17/52</f>
        <v>1.2963152625359824</v>
      </c>
      <c r="J18" s="575">
        <f>J17/52</f>
        <v>1.8594990074560014</v>
      </c>
      <c r="K18" s="575">
        <f>K17/52</f>
        <v>2.2338845589093252</v>
      </c>
      <c r="L18" s="575">
        <f>L17/52</f>
        <v>2.3688102271076459</v>
      </c>
    </row>
    <row r="19" spans="1:12" ht="12" x14ac:dyDescent="0.2">
      <c r="A19" s="547" t="s">
        <v>545</v>
      </c>
      <c r="B19" s="548">
        <f>SUM(B20:B23)</f>
        <v>2353185.69</v>
      </c>
      <c r="C19" s="548">
        <f>SUM(C20:C23)</f>
        <v>260054.72000000003</v>
      </c>
      <c r="D19" s="548">
        <f>SUM(D20:D23)</f>
        <v>2093130.9700000002</v>
      </c>
      <c r="E19" s="549">
        <f>C19/B19</f>
        <v>0.11051177181006912</v>
      </c>
      <c r="G19" s="577" t="s">
        <v>774</v>
      </c>
      <c r="H19" s="578">
        <f>(H15*1000)/H8</f>
        <v>205.53320975661921</v>
      </c>
      <c r="I19" s="578">
        <f>(I15*1000)/I8</f>
        <v>177.306759212271</v>
      </c>
      <c r="J19" s="578">
        <f>(J15*1000)/J8</f>
        <v>228.05625034651544</v>
      </c>
      <c r="K19" s="578">
        <f>(K15*1000)/K8</f>
        <v>252.60615520914641</v>
      </c>
      <c r="L19" s="578">
        <f>(L15*1000)/L8</f>
        <v>243.10528518919907</v>
      </c>
    </row>
    <row r="20" spans="1:12" ht="12" x14ac:dyDescent="0.2">
      <c r="A20" s="557" t="s">
        <v>9</v>
      </c>
      <c r="B20" s="558">
        <f>'App 3 - Recycling Rate'!L136</f>
        <v>1230625.6500000001</v>
      </c>
      <c r="C20" s="558">
        <f>'App 3 - Recycling Rate'!M136</f>
        <v>211940.67</v>
      </c>
      <c r="D20" s="558">
        <f>'App 3 - Recycling Rate'!N136</f>
        <v>1018684.9800000001</v>
      </c>
      <c r="E20" s="559">
        <f>C20/B20</f>
        <v>0.17222188567254387</v>
      </c>
      <c r="G20" s="577" t="s">
        <v>670</v>
      </c>
      <c r="H20" s="579">
        <f>H19/52</f>
        <v>3.9525617260888311</v>
      </c>
      <c r="I20" s="578">
        <f>I19/52</f>
        <v>3.4097453694667501</v>
      </c>
      <c r="J20" s="578">
        <f>J19/52</f>
        <v>4.3856971220483736</v>
      </c>
      <c r="K20" s="578">
        <f>K19/52</f>
        <v>4.8578106770989695</v>
      </c>
      <c r="L20" s="578">
        <f>L19/52</f>
        <v>4.6751016382538282</v>
      </c>
    </row>
    <row r="21" spans="1:12" ht="12" x14ac:dyDescent="0.2">
      <c r="A21" s="557" t="s">
        <v>10</v>
      </c>
      <c r="B21" s="558">
        <f>'App 3 - Recycling Rate'!L137</f>
        <v>472595.35</v>
      </c>
      <c r="C21" s="558">
        <f>'App 3 - Recycling Rate'!M137</f>
        <v>25533.7</v>
      </c>
      <c r="D21" s="558">
        <f>'App 3 - Recycling Rate'!N137</f>
        <v>447061.65</v>
      </c>
      <c r="E21" s="559">
        <f>C21/B21</f>
        <v>5.4028673790379025E-2</v>
      </c>
      <c r="G21" s="565"/>
      <c r="H21" s="565"/>
      <c r="I21" s="565"/>
      <c r="J21" s="565"/>
      <c r="K21" s="565"/>
      <c r="L21" s="565"/>
    </row>
    <row r="22" spans="1:12" ht="12" x14ac:dyDescent="0.2">
      <c r="A22" s="557" t="s">
        <v>11</v>
      </c>
      <c r="B22" s="558">
        <f>'App 3 - Recycling Rate'!L138</f>
        <v>259683.32</v>
      </c>
      <c r="C22" s="558">
        <f>'App 3 - Recycling Rate'!M138</f>
        <v>15395.72</v>
      </c>
      <c r="D22" s="558">
        <f>'App 3 - Recycling Rate'!N138</f>
        <v>244287.6</v>
      </c>
      <c r="E22" s="559">
        <f>C22/B22</f>
        <v>5.9286518672050245E-2</v>
      </c>
      <c r="G22" s="564" t="s">
        <v>775</v>
      </c>
      <c r="H22" s="565"/>
      <c r="I22" s="565"/>
      <c r="J22" s="565"/>
      <c r="K22" s="565"/>
      <c r="L22" s="565"/>
    </row>
    <row r="23" spans="1:12" ht="12" x14ac:dyDescent="0.2">
      <c r="A23" s="557" t="s">
        <v>762</v>
      </c>
      <c r="B23" s="558">
        <f>'App 3 - Recycling Rate'!L139</f>
        <v>390281.37000000005</v>
      </c>
      <c r="C23" s="558">
        <f>'App 3 - Recycling Rate'!M139</f>
        <v>7184.6300000000019</v>
      </c>
      <c r="D23" s="558">
        <f>'App 3 - Recycling Rate'!N139</f>
        <v>383096.74000000005</v>
      </c>
      <c r="E23" s="559">
        <f>C23/B23</f>
        <v>1.8408846930100715E-2</v>
      </c>
      <c r="G23" s="569" t="s">
        <v>729</v>
      </c>
      <c r="H23" s="570">
        <f>SUM(I23:L23)</f>
        <v>719240.6100000001</v>
      </c>
      <c r="I23" s="571">
        <f>'App 5 - Organics'!F137+'App 5 - Organics'!J137</f>
        <v>337772.43000000005</v>
      </c>
      <c r="J23" s="571">
        <f>'App 5 - Organics'!F138+'App 5 - Organics'!J138</f>
        <v>178787.57</v>
      </c>
      <c r="K23" s="571">
        <f>'App 5 - Organics'!F139+'App 5 - Organics'!J139</f>
        <v>111431.34000000001</v>
      </c>
      <c r="L23" s="571">
        <f>'App 5 - Organics'!F140+'App 5 - Organics'!J140</f>
        <v>91249.26999999999</v>
      </c>
    </row>
    <row r="24" spans="1:12" ht="12" x14ac:dyDescent="0.2">
      <c r="A24" s="580"/>
      <c r="B24" s="581"/>
      <c r="C24" s="567"/>
      <c r="D24" s="567"/>
      <c r="E24" s="565"/>
      <c r="G24" s="569" t="s">
        <v>730</v>
      </c>
      <c r="H24" s="570">
        <f>SUM(I24:L24)</f>
        <v>121934.13</v>
      </c>
      <c r="I24" s="571">
        <f>'App 5 - Organics'!N137</f>
        <v>1435.58</v>
      </c>
      <c r="J24" s="571">
        <f>'App 5 - Organics'!N138</f>
        <v>22925.850000000002</v>
      </c>
      <c r="K24" s="571">
        <f>'App 5 - Organics'!N139</f>
        <v>23314.979999999996</v>
      </c>
      <c r="L24" s="571">
        <f>'App 5 - Organics'!N140</f>
        <v>74257.72</v>
      </c>
    </row>
    <row r="25" spans="1:12" ht="12" x14ac:dyDescent="0.2">
      <c r="A25" s="547" t="s">
        <v>776</v>
      </c>
      <c r="B25" s="548">
        <f>SUM(B26:B29)</f>
        <v>4044366.8606178137</v>
      </c>
      <c r="C25" s="548">
        <f>SUM(C26:C29)</f>
        <v>1866105.1206178137</v>
      </c>
      <c r="D25" s="548">
        <f>SUM(D26:D29)</f>
        <v>2178261.56</v>
      </c>
      <c r="E25" s="549">
        <f>C25/B25</f>
        <v>0.46140846884813741</v>
      </c>
      <c r="G25" s="569" t="s">
        <v>731</v>
      </c>
      <c r="H25" s="570">
        <f>SUM(I25:L25)</f>
        <v>22046.79</v>
      </c>
      <c r="I25" s="571">
        <f>'App 5 - Organics'!R137</f>
        <v>7785.4700000000012</v>
      </c>
      <c r="J25" s="571">
        <f>'App 5 - Organics'!R138</f>
        <v>13802.96</v>
      </c>
      <c r="K25" s="571">
        <f>'App 5 - Organics'!R139</f>
        <v>249.62</v>
      </c>
      <c r="L25" s="571">
        <f>'App 5 - Organics'!R140</f>
        <v>208.74</v>
      </c>
    </row>
    <row r="26" spans="1:12" ht="12" x14ac:dyDescent="0.2">
      <c r="A26" s="557" t="s">
        <v>9</v>
      </c>
      <c r="B26" s="548">
        <f>B8+B14+B20</f>
        <v>1958713.6483107964</v>
      </c>
      <c r="C26" s="548">
        <f>C8+C14+C20</f>
        <v>901210.88831079646</v>
      </c>
      <c r="D26" s="548">
        <f>D8+D14+D20</f>
        <v>1057502.76</v>
      </c>
      <c r="E26" s="559">
        <f>C26/B26</f>
        <v>0.46010344038190826</v>
      </c>
      <c r="G26" s="547" t="s">
        <v>777</v>
      </c>
      <c r="H26" s="572">
        <f>SUM(I26:L26)</f>
        <v>863221.53</v>
      </c>
      <c r="I26" s="572">
        <f>SUM(I23:I25)</f>
        <v>346993.4800000001</v>
      </c>
      <c r="J26" s="572">
        <f>SUM(J23:J25)</f>
        <v>215516.38</v>
      </c>
      <c r="K26" s="572">
        <f>SUM(K23:K25)</f>
        <v>134995.94</v>
      </c>
      <c r="L26" s="572">
        <f>SUM(L23:L25)</f>
        <v>165715.72999999998</v>
      </c>
    </row>
    <row r="27" spans="1:12" ht="12" x14ac:dyDescent="0.2">
      <c r="A27" s="557" t="s">
        <v>10</v>
      </c>
      <c r="B27" s="548">
        <f t="shared" ref="B27:D29" si="0">B9+B15+B21</f>
        <v>863882.48414779874</v>
      </c>
      <c r="C27" s="548">
        <f t="shared" si="0"/>
        <v>401370.39414779877</v>
      </c>
      <c r="D27" s="548">
        <f t="shared" si="0"/>
        <v>462512.09</v>
      </c>
      <c r="E27" s="559">
        <f>C27/B27</f>
        <v>0.46461226094165103</v>
      </c>
      <c r="G27" s="551"/>
      <c r="H27" s="573"/>
      <c r="I27" s="573"/>
      <c r="J27" s="573"/>
      <c r="K27" s="573"/>
      <c r="L27" s="573"/>
    </row>
    <row r="28" spans="1:12" ht="12" x14ac:dyDescent="0.2">
      <c r="A28" s="557" t="s">
        <v>11</v>
      </c>
      <c r="B28" s="548">
        <f t="shared" si="0"/>
        <v>510835.9660640962</v>
      </c>
      <c r="C28" s="548">
        <f t="shared" si="0"/>
        <v>257344.93606409614</v>
      </c>
      <c r="D28" s="548">
        <f t="shared" si="0"/>
        <v>253491.03</v>
      </c>
      <c r="E28" s="559">
        <f>C28/B28</f>
        <v>0.50377215615199311</v>
      </c>
      <c r="G28" s="574" t="s">
        <v>772</v>
      </c>
      <c r="H28" s="575">
        <f>(H26*1000)/H7</f>
        <v>105.70183373168494</v>
      </c>
      <c r="I28" s="575">
        <f>(I26*1000)/I7</f>
        <v>71.984658474091589</v>
      </c>
      <c r="J28" s="575">
        <f>(J26*1000)/J7</f>
        <v>144.74785228647283</v>
      </c>
      <c r="K28" s="575">
        <f>(K26*1000)/K7</f>
        <v>163.68481359376574</v>
      </c>
      <c r="L28" s="575">
        <f>(L26*1000)/L7</f>
        <v>160.49172437170111</v>
      </c>
    </row>
    <row r="29" spans="1:12" ht="12" x14ac:dyDescent="0.2">
      <c r="A29" s="557" t="s">
        <v>762</v>
      </c>
      <c r="B29" s="548">
        <f t="shared" si="0"/>
        <v>710934.76209512237</v>
      </c>
      <c r="C29" s="548">
        <f t="shared" si="0"/>
        <v>306178.90209512226</v>
      </c>
      <c r="D29" s="548">
        <f t="shared" si="0"/>
        <v>404755.68000000005</v>
      </c>
      <c r="E29" s="559">
        <f>C29/B29</f>
        <v>0.4306708834898072</v>
      </c>
      <c r="G29" s="574" t="s">
        <v>773</v>
      </c>
      <c r="H29" s="575">
        <f>H28/52</f>
        <v>2.0327275717631719</v>
      </c>
      <c r="I29" s="575">
        <f>I28/52</f>
        <v>1.3843203552709922</v>
      </c>
      <c r="J29" s="575">
        <f>J28/52</f>
        <v>2.7836125439706314</v>
      </c>
      <c r="K29" s="575">
        <f>K28/52</f>
        <v>3.1477848768031871</v>
      </c>
      <c r="L29" s="575">
        <f>L28/52</f>
        <v>3.0863793148404062</v>
      </c>
    </row>
    <row r="30" spans="1:12" ht="12" x14ac:dyDescent="0.2">
      <c r="B30" s="596">
        <f>((B25*1000/H8)/52)</f>
        <v>23.104177481444715</v>
      </c>
      <c r="C30" s="596">
        <f>((B25*1000/H7)/52)</f>
        <v>9.5237383941328382</v>
      </c>
      <c r="G30" s="577" t="s">
        <v>774</v>
      </c>
      <c r="H30" s="578">
        <f>(H26*1000)/H8</f>
        <v>256.42807746121144</v>
      </c>
      <c r="I30" s="578">
        <f>(I26*1000)/I8</f>
        <v>189.34387567458441</v>
      </c>
      <c r="J30" s="578">
        <f>(J26*1000)/J8</f>
        <v>341.39315839913826</v>
      </c>
      <c r="K30" s="578">
        <f>(K26*1000)/K8</f>
        <v>355.94938511190333</v>
      </c>
      <c r="L30" s="578">
        <f>(L26*1000)/L8</f>
        <v>316.74767144705726</v>
      </c>
    </row>
    <row r="31" spans="1:12" ht="12" x14ac:dyDescent="0.2">
      <c r="B31" s="596"/>
      <c r="C31" s="596"/>
      <c r="D31" s="172"/>
      <c r="G31" s="577" t="s">
        <v>670</v>
      </c>
      <c r="H31" s="579">
        <f>H30/52</f>
        <v>4.9313091819463741</v>
      </c>
      <c r="I31" s="578">
        <f>I30/52</f>
        <v>3.6412283783573924</v>
      </c>
      <c r="J31" s="578">
        <f>J30/52</f>
        <v>6.5652530461372738</v>
      </c>
      <c r="K31" s="578">
        <f>K30/52</f>
        <v>6.8451804829212177</v>
      </c>
      <c r="L31" s="578">
        <f>L30/52</f>
        <v>6.09130137398187</v>
      </c>
    </row>
    <row r="32" spans="1:12" ht="12" x14ac:dyDescent="0.2">
      <c r="B32" s="596"/>
      <c r="C32" s="596"/>
      <c r="F32" s="582"/>
      <c r="G32" s="565"/>
      <c r="H32" s="565"/>
      <c r="I32" s="565"/>
      <c r="J32" s="565"/>
      <c r="K32" s="565"/>
      <c r="L32" s="565"/>
    </row>
    <row r="33" spans="1:22" ht="12.75" x14ac:dyDescent="0.2">
      <c r="A33" s="598" t="s">
        <v>778</v>
      </c>
      <c r="B33" s="598"/>
      <c r="C33" s="598"/>
      <c r="D33" s="598"/>
      <c r="E33" s="598"/>
      <c r="F33" s="598"/>
      <c r="G33" s="583" t="s">
        <v>779</v>
      </c>
      <c r="H33" s="548">
        <f>SUM(I33:L33)</f>
        <v>1555114.1400000001</v>
      </c>
      <c r="I33" s="548">
        <f>I15+I26</f>
        <v>671927.62000000011</v>
      </c>
      <c r="J33" s="548">
        <f>J15+J26</f>
        <v>359484.87</v>
      </c>
      <c r="K33" s="548">
        <f>K15+K26</f>
        <v>230798.34000000003</v>
      </c>
      <c r="L33" s="548">
        <f>L15+L26</f>
        <v>292903.30999999994</v>
      </c>
      <c r="U33" s="172"/>
    </row>
    <row r="34" spans="1:22" ht="12.75" x14ac:dyDescent="0.2">
      <c r="G34" s="565"/>
      <c r="H34" s="565"/>
      <c r="I34" s="565"/>
      <c r="J34" s="565"/>
      <c r="K34" s="565"/>
      <c r="L34" s="565"/>
      <c r="U34"/>
    </row>
    <row r="35" spans="1:22" ht="12" x14ac:dyDescent="0.2">
      <c r="A35" s="547" t="s">
        <v>763</v>
      </c>
      <c r="B35" s="548" t="s">
        <v>611</v>
      </c>
      <c r="C35" s="548" t="s">
        <v>744</v>
      </c>
      <c r="D35" s="548" t="s">
        <v>613</v>
      </c>
      <c r="E35" s="549" t="s">
        <v>549</v>
      </c>
      <c r="G35" s="564" t="s">
        <v>780</v>
      </c>
      <c r="H35" s="565"/>
      <c r="I35" s="565"/>
      <c r="J35" s="565"/>
      <c r="K35" s="565"/>
      <c r="L35" s="565"/>
    </row>
    <row r="36" spans="1:22" ht="12" x14ac:dyDescent="0.2">
      <c r="A36" s="552"/>
      <c r="B36" s="552"/>
      <c r="C36" s="552"/>
      <c r="D36" s="552"/>
      <c r="E36" s="552"/>
      <c r="G36" s="569" t="s">
        <v>729</v>
      </c>
      <c r="H36" s="570">
        <f>SUM(I36:L36)</f>
        <v>1779223.3800000001</v>
      </c>
      <c r="I36" s="571">
        <f>'App 6 - Residual Waste'!F137</f>
        <v>1057327.4300000002</v>
      </c>
      <c r="J36" s="571">
        <f>'App 6 - Residual Waste'!F138</f>
        <v>341847.7</v>
      </c>
      <c r="K36" s="571">
        <f>'App 6 - Residual Waste'!F139</f>
        <v>156097.65</v>
      </c>
      <c r="L36" s="571">
        <f>'App 6 - Residual Waste'!F140</f>
        <v>223950.6</v>
      </c>
    </row>
    <row r="37" spans="1:22" ht="12" x14ac:dyDescent="0.2">
      <c r="A37" s="547" t="s">
        <v>543</v>
      </c>
      <c r="B37" s="548">
        <f>SUM(B38:B41)</f>
        <v>832531.51061781356</v>
      </c>
      <c r="C37" s="548">
        <f t="shared" ref="C37:D37" si="1">SUM(C38:C41)</f>
        <v>763790.33061781363</v>
      </c>
      <c r="D37" s="548">
        <f t="shared" si="1"/>
        <v>68739.539999999994</v>
      </c>
      <c r="E37" s="549">
        <f>C37/B37</f>
        <v>0.91743113729234371</v>
      </c>
      <c r="G37" s="569" t="s">
        <v>730</v>
      </c>
      <c r="H37" s="570">
        <f>SUM(I37:L37)</f>
        <v>340420.18</v>
      </c>
      <c r="I37" s="571">
        <f>'App 6 - Residual Waste'!P137</f>
        <v>11495.36</v>
      </c>
      <c r="J37" s="571">
        <f>'App 6 - Residual Waste'!P138</f>
        <v>75738.940000000017</v>
      </c>
      <c r="K37" s="584">
        <f>'App 6 - Residual Waste'!P139</f>
        <v>91373.150000000009</v>
      </c>
      <c r="L37" s="571">
        <f>'App 6 - Residual Waste'!P140</f>
        <v>161812.72999999998</v>
      </c>
    </row>
    <row r="38" spans="1:22" ht="12" x14ac:dyDescent="0.2">
      <c r="A38" s="557" t="s">
        <v>9</v>
      </c>
      <c r="B38" s="558">
        <f>'App 4 - Recyclables'!V137+'App 4 - Recyclables'!AB137</f>
        <v>381094.86831079639</v>
      </c>
      <c r="C38" s="558">
        <f>'App 4 - Recyclables'!W137+'App 4 - Recyclables'!AC137</f>
        <v>345743.72831079649</v>
      </c>
      <c r="D38" s="558">
        <f>'App 4 - Recyclables'!X137+'App 4 - Recyclables'!AD137</f>
        <v>35350.789999999994</v>
      </c>
      <c r="E38" s="559">
        <f>C38/B38</f>
        <v>0.90723795322489154</v>
      </c>
      <c r="G38" s="569" t="s">
        <v>731</v>
      </c>
      <c r="H38" s="570">
        <f>SUM(I38:L38)</f>
        <v>233542.13</v>
      </c>
      <c r="I38" s="571">
        <f>'App 6 - Residual Waste'!W137</f>
        <v>161802.85999999999</v>
      </c>
      <c r="J38" s="571">
        <f>'App 6 - Residual Waste'!W138</f>
        <v>55008.710000000006</v>
      </c>
      <c r="K38" s="571">
        <f>'App 6 - Residual Waste'!W139</f>
        <v>12212.52</v>
      </c>
      <c r="L38" s="571">
        <f>'App 6 - Residual Waste'!W140</f>
        <v>4518.04</v>
      </c>
    </row>
    <row r="39" spans="1:22" ht="12" x14ac:dyDescent="0.2">
      <c r="A39" s="557" t="s">
        <v>10</v>
      </c>
      <c r="B39" s="558">
        <f>'App 4 - Recyclables'!V138+'App 4 - Recyclables'!AB138</f>
        <v>175871.74414779874</v>
      </c>
      <c r="C39" s="558">
        <f>'App 4 - Recyclables'!W138+'App 4 - Recyclables'!AC138</f>
        <v>162024.55414779874</v>
      </c>
      <c r="D39" s="558">
        <f>'App 4 - Recyclables'!X138+'App 4 - Recyclables'!AD138</f>
        <v>13846.93</v>
      </c>
      <c r="E39" s="559">
        <f>C39/B39</f>
        <v>0.92126540811261226</v>
      </c>
      <c r="G39" s="547" t="s">
        <v>781</v>
      </c>
      <c r="H39" s="572">
        <f>SUM(I39:L39)</f>
        <v>2353185.6900000004</v>
      </c>
      <c r="I39" s="572">
        <f>SUM(I36:I38)</f>
        <v>1230625.6500000004</v>
      </c>
      <c r="J39" s="572">
        <f>SUM(J36:J38)</f>
        <v>472595.35000000003</v>
      </c>
      <c r="K39" s="572">
        <f>SUM(K36:K38)</f>
        <v>259683.31999999998</v>
      </c>
      <c r="L39" s="572">
        <f>SUM(L36:L38)</f>
        <v>390281.36999999994</v>
      </c>
    </row>
    <row r="40" spans="1:22" ht="12" x14ac:dyDescent="0.2">
      <c r="A40" s="557" t="s">
        <v>11</v>
      </c>
      <c r="B40" s="558">
        <f>'App 4 - Recyclables'!V139+'App 4 - Recyclables'!AB139</f>
        <v>116177.70606409617</v>
      </c>
      <c r="C40" s="558">
        <f>'App 4 - Recyclables'!W139+'App 4 - Recyclables'!AC139</f>
        <v>108187.56606409616</v>
      </c>
      <c r="D40" s="558">
        <f>'App 4 - Recyclables'!X139+'App 4 - Recyclables'!AD139</f>
        <v>7990.1400000000012</v>
      </c>
      <c r="E40" s="559">
        <f>C40/B40</f>
        <v>0.93122484278014761</v>
      </c>
      <c r="G40" s="585"/>
      <c r="H40" s="585"/>
      <c r="I40" s="585"/>
      <c r="J40" s="585"/>
      <c r="K40" s="585"/>
      <c r="L40" s="585"/>
    </row>
    <row r="41" spans="1:22" ht="12" x14ac:dyDescent="0.2">
      <c r="A41" s="557" t="s">
        <v>762</v>
      </c>
      <c r="B41" s="558">
        <f>'App 4 - Recyclables'!V140+'App 4 - Recyclables'!AB140</f>
        <v>159387.19209512227</v>
      </c>
      <c r="C41" s="558">
        <f>'App 4 - Recyclables'!W140+'App 4 - Recyclables'!AC140</f>
        <v>147834.48209512228</v>
      </c>
      <c r="D41" s="558">
        <f>'App 4 - Recyclables'!X140+'App 4 - Recyclables'!AD140</f>
        <v>11551.68</v>
      </c>
      <c r="E41" s="559">
        <f>C41/B41</f>
        <v>0.92751795267774506</v>
      </c>
      <c r="G41" s="574" t="s">
        <v>772</v>
      </c>
      <c r="H41" s="575">
        <f>(H39*1000)/H$7</f>
        <v>288.14856198519556</v>
      </c>
      <c r="I41" s="575">
        <f>(I39*1000)/I$7</f>
        <v>255.29634483249362</v>
      </c>
      <c r="J41" s="575">
        <f>(J39*1000)/J$7</f>
        <v>317.41049990294908</v>
      </c>
      <c r="K41" s="575">
        <f>(K39*1000)/K$7</f>
        <v>314.87032741584829</v>
      </c>
      <c r="L41" s="575">
        <f>(L39*1000)/L$7</f>
        <v>377.97818023340267</v>
      </c>
      <c r="U41" s="153">
        <v>119353.4602225322</v>
      </c>
      <c r="V41" s="153" t="s">
        <v>782</v>
      </c>
    </row>
    <row r="42" spans="1:22" ht="12" x14ac:dyDescent="0.2">
      <c r="A42" s="566"/>
      <c r="B42" s="567"/>
      <c r="C42" s="567"/>
      <c r="D42" s="567"/>
      <c r="E42" s="568"/>
      <c r="G42" s="574" t="s">
        <v>773</v>
      </c>
      <c r="H42" s="575">
        <f>H41/52</f>
        <v>5.5413184997152989</v>
      </c>
      <c r="I42" s="575">
        <f>I41/52</f>
        <v>4.9095450929325697</v>
      </c>
      <c r="J42" s="575">
        <f>J41/52</f>
        <v>6.1040480750567134</v>
      </c>
      <c r="K42" s="575">
        <f>K41/52</f>
        <v>6.0551986041509291</v>
      </c>
      <c r="L42" s="575">
        <f>L41/52</f>
        <v>7.2688111583346666</v>
      </c>
      <c r="U42" s="153" t="s">
        <v>783</v>
      </c>
    </row>
    <row r="43" spans="1:22" ht="12" x14ac:dyDescent="0.2">
      <c r="A43" s="547" t="s">
        <v>544</v>
      </c>
      <c r="B43" s="548">
        <f>SUM(B44:B47)</f>
        <v>887143.61</v>
      </c>
      <c r="C43" s="548">
        <f>SUM(C44:C47)</f>
        <v>868154.06999999983</v>
      </c>
      <c r="D43" s="548">
        <f>SUM(D44:D47)</f>
        <v>18977.82</v>
      </c>
      <c r="E43" s="549">
        <f>C43/B43</f>
        <v>0.97859473958224175</v>
      </c>
      <c r="G43" s="577" t="s">
        <v>774</v>
      </c>
      <c r="H43" s="578">
        <f>(H39*1000)/H$8</f>
        <v>699.03595012966662</v>
      </c>
      <c r="I43" s="578">
        <f>(I39*1000)/I$8</f>
        <v>671.51529785388084</v>
      </c>
      <c r="J43" s="578">
        <f>(J39*1000)/J$8</f>
        <v>748.62439310295679</v>
      </c>
      <c r="K43" s="578">
        <f>(K39*1000)/K$8</f>
        <v>684.71776319952744</v>
      </c>
      <c r="L43" s="578">
        <f>(L39*1000)/L$8</f>
        <v>745.98057261472638</v>
      </c>
    </row>
    <row r="44" spans="1:22" ht="12" x14ac:dyDescent="0.2">
      <c r="A44" s="557" t="s">
        <v>9</v>
      </c>
      <c r="B44" s="558">
        <f>'App 5 - Organics'!V137+'App 5 - Organics'!AD137</f>
        <v>359275.54999999993</v>
      </c>
      <c r="C44" s="558">
        <f>'App 5 - Organics'!W137+'App 5 - Organics'!AE137</f>
        <v>355120.48999999993</v>
      </c>
      <c r="D44" s="558">
        <f>'App 5 - Organics'!X137+'App 5 - Organics'!AF137</f>
        <v>4150.96</v>
      </c>
      <c r="E44" s="559">
        <f>C44/B44</f>
        <v>0.98843489349609237</v>
      </c>
      <c r="G44" s="577" t="s">
        <v>670</v>
      </c>
      <c r="H44" s="579">
        <f>H43/52</f>
        <v>13.442999040955128</v>
      </c>
      <c r="I44" s="578">
        <f>I43/52</f>
        <v>12.913755727959247</v>
      </c>
      <c r="J44" s="578">
        <f>J43/52</f>
        <v>14.39662294428763</v>
      </c>
      <c r="K44" s="578">
        <f>K43/52</f>
        <v>13.167649292298604</v>
      </c>
      <c r="L44" s="578">
        <f>L43/52</f>
        <v>14.345780242590893</v>
      </c>
      <c r="U44" s="153" t="s">
        <v>784</v>
      </c>
    </row>
    <row r="45" spans="1:22" ht="12" x14ac:dyDescent="0.2">
      <c r="A45" s="557" t="s">
        <v>10</v>
      </c>
      <c r="B45" s="558">
        <f>'App 5 - Organics'!V138+'App 5 - Organics'!AD138</f>
        <v>217677.72</v>
      </c>
      <c r="C45" s="558">
        <f>'App 5 - Organics'!W138+'App 5 - Organics'!AE138</f>
        <v>216064.14</v>
      </c>
      <c r="D45" s="558">
        <f>'App 5 - Organics'!X138+'App 5 - Organics'!AF138</f>
        <v>1611.51</v>
      </c>
      <c r="E45" s="559">
        <f>C45/B45</f>
        <v>0.99258729832341142</v>
      </c>
      <c r="G45" s="565"/>
      <c r="H45" s="578"/>
      <c r="I45" s="565"/>
      <c r="J45" s="565"/>
      <c r="K45" s="565"/>
      <c r="L45" s="565"/>
    </row>
    <row r="46" spans="1:22" ht="12" customHeight="1" x14ac:dyDescent="0.2">
      <c r="A46" s="557" t="s">
        <v>11</v>
      </c>
      <c r="B46" s="558">
        <f>'App 5 - Organics'!V139+'App 5 - Organics'!AD139</f>
        <v>136506.45000000001</v>
      </c>
      <c r="C46" s="558">
        <f>'App 5 - Organics'!W139+'App 5 - Organics'!AE139</f>
        <v>135290.65</v>
      </c>
      <c r="D46" s="558">
        <f>'App 5 - Organics'!X139+'App 5 - Organics'!AF139</f>
        <v>1213.29</v>
      </c>
      <c r="E46" s="559">
        <f>C46/B46</f>
        <v>0.99109346115146923</v>
      </c>
      <c r="G46" s="547" t="s">
        <v>785</v>
      </c>
      <c r="H46" s="565"/>
      <c r="I46" s="565"/>
      <c r="J46" s="565"/>
      <c r="K46" s="565"/>
      <c r="L46" s="565"/>
    </row>
    <row r="47" spans="1:22" ht="12" x14ac:dyDescent="0.2">
      <c r="A47" s="557" t="s">
        <v>762</v>
      </c>
      <c r="B47" s="558">
        <f>'App 5 - Organics'!V140+'App 5 - Organics'!AD140</f>
        <v>173683.89</v>
      </c>
      <c r="C47" s="558">
        <f>'App 5 - Organics'!W140+'App 5 - Organics'!AE140</f>
        <v>161678.78999999998</v>
      </c>
      <c r="D47" s="558">
        <f>'App 5 - Organics'!X140+'App 5 - Organics'!AF140</f>
        <v>12002.059999999998</v>
      </c>
      <c r="E47" s="559">
        <f>C47/B47</f>
        <v>0.93087959971417022</v>
      </c>
      <c r="G47" s="569" t="s">
        <v>729</v>
      </c>
      <c r="H47" s="570">
        <f>H36+H23+H12</f>
        <v>3062059.22</v>
      </c>
      <c r="I47" s="571">
        <f>I36+I23+I12</f>
        <v>1703035.5000000002</v>
      </c>
      <c r="J47" s="571">
        <f>J36+J23+J12</f>
        <v>638465.42000000004</v>
      </c>
      <c r="K47" s="571">
        <f>K36+K23+K12</f>
        <v>337631.33</v>
      </c>
      <c r="L47" s="571">
        <f>L36+L23+L12</f>
        <v>382926.97</v>
      </c>
    </row>
    <row r="48" spans="1:22" ht="12" x14ac:dyDescent="0.2">
      <c r="A48" s="566"/>
      <c r="B48" s="567"/>
      <c r="C48" s="567"/>
      <c r="D48" s="567"/>
      <c r="E48" s="576"/>
      <c r="G48" s="569" t="s">
        <v>730</v>
      </c>
      <c r="H48" s="570">
        <f t="shared" ref="H48:L49" si="2">H37+H24+H13</f>
        <v>570127.87</v>
      </c>
      <c r="I48" s="571">
        <f t="shared" si="2"/>
        <v>16182.01</v>
      </c>
      <c r="J48" s="571">
        <f t="shared" si="2"/>
        <v>121208.32000000002</v>
      </c>
      <c r="K48" s="571">
        <f t="shared" si="2"/>
        <v>138726.34</v>
      </c>
      <c r="L48" s="571">
        <f t="shared" si="2"/>
        <v>294011.19999999995</v>
      </c>
    </row>
    <row r="49" spans="1:12" ht="12" x14ac:dyDescent="0.2">
      <c r="A49" s="547" t="s">
        <v>545</v>
      </c>
      <c r="B49" s="548">
        <f>SUM(B50:B53)</f>
        <v>2463951.5700000003</v>
      </c>
      <c r="C49" s="548">
        <f>SUM(C50:C53)</f>
        <v>267977.72000000003</v>
      </c>
      <c r="D49" s="548">
        <f>SUM(D50:D53)</f>
        <v>2195970.2400000002</v>
      </c>
      <c r="E49" s="549">
        <f>C49/B49</f>
        <v>0.10875932922658865</v>
      </c>
      <c r="G49" s="569" t="s">
        <v>731</v>
      </c>
      <c r="H49" s="570">
        <f t="shared" si="2"/>
        <v>276112.74</v>
      </c>
      <c r="I49" s="571">
        <f t="shared" si="2"/>
        <v>183335.75999999998</v>
      </c>
      <c r="J49" s="571">
        <f t="shared" si="2"/>
        <v>72406.48000000001</v>
      </c>
      <c r="K49" s="571">
        <f t="shared" si="2"/>
        <v>14123.990000000002</v>
      </c>
      <c r="L49" s="571">
        <f t="shared" si="2"/>
        <v>6246.5099999999993</v>
      </c>
    </row>
    <row r="50" spans="1:12" ht="12" x14ac:dyDescent="0.2">
      <c r="A50" s="557" t="s">
        <v>9</v>
      </c>
      <c r="B50" s="558">
        <f>'App 6 - Residual Waste'!AC137+'App 6 - Residual Waste'!AI137</f>
        <v>1247921.5000000002</v>
      </c>
      <c r="C50" s="558">
        <f>'App 6 - Residual Waste'!AD137+'App 6 - Residual Waste'!AJ137</f>
        <v>214057.67</v>
      </c>
      <c r="D50" s="558">
        <f>'App 6 - Residual Waste'!AE137+'App 6 - Residual Waste'!AK137</f>
        <v>1033862.5200000001</v>
      </c>
      <c r="E50" s="559">
        <f>C50/B50</f>
        <v>0.17153135834265215</v>
      </c>
      <c r="G50" s="547" t="s">
        <v>785</v>
      </c>
      <c r="H50" s="572">
        <f>SUM(I50:L50)</f>
        <v>3908299.83</v>
      </c>
      <c r="I50" s="572">
        <f>I33+I39</f>
        <v>1902553.2700000005</v>
      </c>
      <c r="J50" s="572">
        <f>J33+J39</f>
        <v>832080.22</v>
      </c>
      <c r="K50" s="572">
        <f>K33+K39</f>
        <v>490481.66000000003</v>
      </c>
      <c r="L50" s="572">
        <f>L33+L39</f>
        <v>683184.67999999993</v>
      </c>
    </row>
    <row r="51" spans="1:12" ht="12.75" x14ac:dyDescent="0.2">
      <c r="A51" s="557" t="s">
        <v>10</v>
      </c>
      <c r="B51" s="558">
        <f>'App 6 - Residual Waste'!AC138+'App 6 - Residual Waste'!AI138</f>
        <v>503518.44999999995</v>
      </c>
      <c r="C51" s="558">
        <f>'App 6 - Residual Waste'!AD138+'App 6 - Residual Waste'!AJ138</f>
        <v>26083.7</v>
      </c>
      <c r="D51" s="558">
        <f>'App 6 - Residual Waste'!AE138+'App 6 - Residual Waste'!AK138</f>
        <v>477434.31000000006</v>
      </c>
      <c r="E51" s="559">
        <f>C51/B51</f>
        <v>5.1802868395388495E-2</v>
      </c>
      <c r="G51" s="138"/>
    </row>
    <row r="52" spans="1:12" ht="12" x14ac:dyDescent="0.2">
      <c r="A52" s="557" t="s">
        <v>11</v>
      </c>
      <c r="B52" s="558">
        <f>'App 6 - Residual Waste'!AC139+'App 6 - Residual Waste'!AI139</f>
        <v>270534.69</v>
      </c>
      <c r="C52" s="558">
        <f>'App 6 - Residual Waste'!AD139+'App 6 - Residual Waste'!AJ139</f>
        <v>17580.72</v>
      </c>
      <c r="D52" s="558">
        <f>'App 6 - Residual Waste'!AE139+'App 6 - Residual Waste'!AK139</f>
        <v>252953.97</v>
      </c>
      <c r="E52" s="559">
        <f>C52/B52</f>
        <v>6.4985085646502488E-2</v>
      </c>
      <c r="G52" s="574" t="s">
        <v>772</v>
      </c>
      <c r="H52" s="575">
        <f>(H50*1000)/H$7</f>
        <v>478.57293226251261</v>
      </c>
      <c r="I52" s="575">
        <f>(I50*1000)/I$7</f>
        <v>394.68939695845631</v>
      </c>
      <c r="J52" s="575">
        <f>(J50*1000)/J$7</f>
        <v>558.85230057713397</v>
      </c>
      <c r="K52" s="575">
        <f>(K50*1000)/K$7</f>
        <v>594.71713807289905</v>
      </c>
      <c r="L52" s="575">
        <f>(L50*1000)/L$7</f>
        <v>661.64803641470132</v>
      </c>
    </row>
    <row r="53" spans="1:12" ht="12" x14ac:dyDescent="0.2">
      <c r="A53" s="557" t="s">
        <v>762</v>
      </c>
      <c r="B53" s="558">
        <f>'App 6 - Residual Waste'!AC140+'App 6 - Residual Waste'!AI140</f>
        <v>441976.93000000005</v>
      </c>
      <c r="C53" s="558">
        <f>'App 6 - Residual Waste'!AD140+'App 6 - Residual Waste'!AJ140</f>
        <v>10255.630000000001</v>
      </c>
      <c r="D53" s="558">
        <f>'App 6 - Residual Waste'!AE140+'App 6 - Residual Waste'!AK140</f>
        <v>431719.44000000006</v>
      </c>
      <c r="E53" s="559">
        <f>C53/B53</f>
        <v>2.3203993927918363E-2</v>
      </c>
      <c r="G53" s="574" t="s">
        <v>773</v>
      </c>
      <c r="H53" s="575">
        <f>H52/52</f>
        <v>9.2033256204329348</v>
      </c>
      <c r="I53" s="575">
        <f>I52/52</f>
        <v>7.5901807107395447</v>
      </c>
      <c r="J53" s="575">
        <f>J52/52</f>
        <v>10.747159626483345</v>
      </c>
      <c r="K53" s="575">
        <f>K52/52</f>
        <v>11.436868039863443</v>
      </c>
      <c r="L53" s="575">
        <f>L52/52</f>
        <v>12.724000700282717</v>
      </c>
    </row>
    <row r="54" spans="1:12" ht="12" x14ac:dyDescent="0.2">
      <c r="A54" s="580"/>
      <c r="B54" s="581"/>
      <c r="C54" s="567"/>
      <c r="D54" s="567"/>
      <c r="E54" s="565"/>
      <c r="G54" s="577" t="s">
        <v>774</v>
      </c>
      <c r="H54" s="578">
        <f>(H50*1000)/H$8</f>
        <v>1160.997237347497</v>
      </c>
      <c r="I54" s="578">
        <f>(I50*1000)/I$8</f>
        <v>1038.1659327407363</v>
      </c>
      <c r="J54" s="578">
        <f>(J50*1000)/J$8</f>
        <v>1318.0738018486104</v>
      </c>
      <c r="K54" s="578">
        <f>(K50*1000)/K$8</f>
        <v>1293.2733035205772</v>
      </c>
      <c r="L54" s="578">
        <f>(L50*1000)/L$8</f>
        <v>1305.8335292509828</v>
      </c>
    </row>
    <row r="55" spans="1:12" ht="12" x14ac:dyDescent="0.2">
      <c r="A55" s="547" t="s">
        <v>776</v>
      </c>
      <c r="B55" s="548">
        <f>SUM(B56:B59)</f>
        <v>4183626.6906178137</v>
      </c>
      <c r="C55" s="548">
        <f>SUM(C56:C59)</f>
        <v>1899922.1206178137</v>
      </c>
      <c r="D55" s="548">
        <f>SUM(D56:D59)</f>
        <v>2283687.6</v>
      </c>
      <c r="E55" s="549">
        <f>C55/B55</f>
        <v>0.45413280417169444</v>
      </c>
      <c r="G55" s="577" t="s">
        <v>670</v>
      </c>
      <c r="H55" s="579">
        <f>H54/52</f>
        <v>22.326869948990328</v>
      </c>
      <c r="I55" s="578">
        <f>I54/52</f>
        <v>19.96472947578339</v>
      </c>
      <c r="J55" s="578">
        <f>J54/52</f>
        <v>25.347573112473277</v>
      </c>
      <c r="K55" s="578">
        <f>K54/52</f>
        <v>24.870640452318792</v>
      </c>
      <c r="L55" s="578">
        <f>L54/52</f>
        <v>25.112183254826594</v>
      </c>
    </row>
    <row r="56" spans="1:12" ht="12" x14ac:dyDescent="0.2">
      <c r="A56" s="557" t="s">
        <v>9</v>
      </c>
      <c r="B56" s="548">
        <f t="shared" ref="B56:D59" si="3">B38+B44+B50</f>
        <v>1988291.9183107966</v>
      </c>
      <c r="C56" s="548">
        <f t="shared" si="3"/>
        <v>914921.88831079646</v>
      </c>
      <c r="D56" s="548">
        <f t="shared" si="3"/>
        <v>1073364.27</v>
      </c>
      <c r="E56" s="559">
        <f>C56/B56</f>
        <v>0.46015470861446311</v>
      </c>
      <c r="H56" s="546" t="s">
        <v>8</v>
      </c>
      <c r="I56" s="546" t="s">
        <v>9</v>
      </c>
      <c r="J56" s="546" t="s">
        <v>10</v>
      </c>
      <c r="K56" s="546" t="s">
        <v>11</v>
      </c>
      <c r="L56" s="546" t="s">
        <v>762</v>
      </c>
    </row>
    <row r="57" spans="1:12" ht="12" x14ac:dyDescent="0.2">
      <c r="A57" s="557" t="s">
        <v>10</v>
      </c>
      <c r="B57" s="548">
        <f t="shared" si="3"/>
        <v>897067.91414779867</v>
      </c>
      <c r="C57" s="548">
        <f t="shared" si="3"/>
        <v>404172.39414779877</v>
      </c>
      <c r="D57" s="548">
        <f t="shared" si="3"/>
        <v>492892.75000000006</v>
      </c>
      <c r="E57" s="559">
        <f>C57/B57</f>
        <v>0.45054826705261952</v>
      </c>
    </row>
    <row r="58" spans="1:12" ht="12" x14ac:dyDescent="0.2">
      <c r="A58" s="557" t="s">
        <v>11</v>
      </c>
      <c r="B58" s="548">
        <f t="shared" si="3"/>
        <v>523218.8460640962</v>
      </c>
      <c r="C58" s="548">
        <f t="shared" si="3"/>
        <v>261058.93606409614</v>
      </c>
      <c r="D58" s="548">
        <f t="shared" si="3"/>
        <v>262157.40000000002</v>
      </c>
      <c r="E58" s="559">
        <f>C58/B58</f>
        <v>0.49894788390729233</v>
      </c>
      <c r="G58" s="547" t="s">
        <v>786</v>
      </c>
      <c r="H58" s="573"/>
      <c r="I58" s="565"/>
      <c r="J58" s="565"/>
      <c r="K58" s="565"/>
      <c r="L58" s="565"/>
    </row>
    <row r="59" spans="1:12" ht="12" x14ac:dyDescent="0.2">
      <c r="A59" s="557" t="s">
        <v>762</v>
      </c>
      <c r="B59" s="548">
        <f>B41+B47+B53</f>
        <v>775048.01209512237</v>
      </c>
      <c r="C59" s="548">
        <f t="shared" si="3"/>
        <v>319768.90209512226</v>
      </c>
      <c r="D59" s="548">
        <f t="shared" si="3"/>
        <v>455273.18000000005</v>
      </c>
      <c r="E59" s="559">
        <f>C59/B59</f>
        <v>0.41257947521304877</v>
      </c>
      <c r="G59" s="569" t="s">
        <v>787</v>
      </c>
      <c r="H59" s="570">
        <f>SUM(I59:L59)</f>
        <v>136067.03061781358</v>
      </c>
      <c r="I59" s="571">
        <f>'App 4 - Recyclables'!J137</f>
        <v>56160.378310796419</v>
      </c>
      <c r="J59" s="571">
        <f>'App 4 - Recyclables'!J138</f>
        <v>31802.264147798753</v>
      </c>
      <c r="K59" s="571">
        <f>'App 4 - Recyclables'!J139</f>
        <v>20354.306064096185</v>
      </c>
      <c r="L59" s="571">
        <f>'App 4 - Recyclables'!J140</f>
        <v>27750.082095122234</v>
      </c>
    </row>
    <row r="60" spans="1:12" ht="12" x14ac:dyDescent="0.2">
      <c r="G60" s="569" t="s">
        <v>584</v>
      </c>
      <c r="H60" s="570">
        <f>SUM(I60:L60)</f>
        <v>4571.87</v>
      </c>
      <c r="I60" s="571">
        <f>'App 4 - Recyclables'!AB137</f>
        <v>0.35</v>
      </c>
      <c r="J60" s="571">
        <f>'App 4 - Recyclables'!AB138</f>
        <v>100.99</v>
      </c>
      <c r="K60" s="571">
        <f>'App 4 - Recyclables'!AB139</f>
        <v>21</v>
      </c>
      <c r="L60" s="571">
        <f>'App 4 - Recyclables'!AB140</f>
        <v>4449.53</v>
      </c>
    </row>
    <row r="61" spans="1:12" ht="12" x14ac:dyDescent="0.2">
      <c r="G61" s="569" t="s">
        <v>788</v>
      </c>
      <c r="H61" s="570">
        <f>SUM(I61:L61)</f>
        <v>23922.080000000002</v>
      </c>
      <c r="I61" s="571">
        <f>'App 5 - Organics'!AD137</f>
        <v>12282.07</v>
      </c>
      <c r="J61" s="571">
        <f>'App 5 - Organics'!AD138</f>
        <v>2161.34</v>
      </c>
      <c r="K61" s="571">
        <f>'App 5 - Organics'!AD139</f>
        <v>1510.5099999999998</v>
      </c>
      <c r="L61" s="571">
        <f>'App 5 - Organics'!AD140</f>
        <v>7968.1600000000008</v>
      </c>
    </row>
    <row r="62" spans="1:12" ht="12" x14ac:dyDescent="0.2">
      <c r="G62" s="569" t="s">
        <v>734</v>
      </c>
      <c r="H62" s="570">
        <f>SUM(I62:L62)</f>
        <v>110765.88</v>
      </c>
      <c r="I62" s="571">
        <f>'App 6 - Residual Waste'!AI137</f>
        <v>17295.849999999999</v>
      </c>
      <c r="J62" s="571">
        <f>'App 6 - Residual Waste'!AI138</f>
        <v>30923.1</v>
      </c>
      <c r="K62" s="571">
        <f>'App 6 - Residual Waste'!AI139</f>
        <v>10851.37</v>
      </c>
      <c r="L62" s="571">
        <f>'App 6 - Residual Waste'!AI140</f>
        <v>51695.560000000005</v>
      </c>
    </row>
    <row r="63" spans="1:12" ht="12" x14ac:dyDescent="0.2">
      <c r="G63" s="547" t="s">
        <v>789</v>
      </c>
      <c r="H63" s="572">
        <f>SUM(I63:L63)</f>
        <v>275326.8606178136</v>
      </c>
      <c r="I63" s="572">
        <f>SUM(I59:I62)</f>
        <v>85738.648310796416</v>
      </c>
      <c r="J63" s="572">
        <f>SUM(J59:J62)</f>
        <v>64987.694147798749</v>
      </c>
      <c r="K63" s="572">
        <f>SUM(K59:K62)</f>
        <v>32737.186064096182</v>
      </c>
      <c r="L63" s="572">
        <f>SUM(L59:L62)</f>
        <v>91863.332095122241</v>
      </c>
    </row>
    <row r="65" spans="5:12" ht="12" x14ac:dyDescent="0.2">
      <c r="G65" s="547" t="s">
        <v>550</v>
      </c>
      <c r="H65" s="565"/>
      <c r="I65" s="565"/>
      <c r="J65" s="565"/>
      <c r="K65" s="565"/>
      <c r="L65" s="565"/>
    </row>
    <row r="66" spans="5:12" ht="12" x14ac:dyDescent="0.2">
      <c r="G66" s="569" t="s">
        <v>790</v>
      </c>
      <c r="H66" s="570">
        <f>SUM(I66:L66)</f>
        <v>3908299.83</v>
      </c>
      <c r="I66" s="571">
        <f>I50</f>
        <v>1902553.2700000005</v>
      </c>
      <c r="J66" s="571">
        <f>J50</f>
        <v>832080.22</v>
      </c>
      <c r="K66" s="571">
        <f>K50</f>
        <v>490481.66000000003</v>
      </c>
      <c r="L66" s="571">
        <f>L50</f>
        <v>683184.67999999993</v>
      </c>
    </row>
    <row r="67" spans="5:12" ht="12" x14ac:dyDescent="0.2">
      <c r="G67" s="569" t="s">
        <v>787</v>
      </c>
      <c r="H67" s="570">
        <f>SUM(I67:L67)</f>
        <v>136067.03061781358</v>
      </c>
      <c r="I67" s="571">
        <f>I59</f>
        <v>56160.378310796419</v>
      </c>
      <c r="J67" s="571">
        <f>J59</f>
        <v>31802.264147798753</v>
      </c>
      <c r="K67" s="571">
        <f>K59</f>
        <v>20354.306064096185</v>
      </c>
      <c r="L67" s="571">
        <f>L59</f>
        <v>27750.082095122234</v>
      </c>
    </row>
    <row r="68" spans="5:12" ht="12" x14ac:dyDescent="0.2">
      <c r="G68" s="569" t="s">
        <v>791</v>
      </c>
      <c r="H68" s="570">
        <f>SUM(I68:L68)</f>
        <v>139259.83000000002</v>
      </c>
      <c r="I68" s="571">
        <f>I60+I61+I62</f>
        <v>29578.269999999997</v>
      </c>
      <c r="J68" s="571">
        <f>J60+J61+J62</f>
        <v>33185.43</v>
      </c>
      <c r="K68" s="571">
        <f>K60+K61+K62</f>
        <v>12382.880000000001</v>
      </c>
      <c r="L68" s="571">
        <f>L60+L61+L62</f>
        <v>64113.250000000007</v>
      </c>
    </row>
    <row r="69" spans="5:12" ht="12" x14ac:dyDescent="0.2">
      <c r="G69" s="547" t="s">
        <v>776</v>
      </c>
      <c r="H69" s="572">
        <f>SUM(I69:L69)</f>
        <v>4183626.6906178142</v>
      </c>
      <c r="I69" s="572">
        <f>SUM(I66:I68)</f>
        <v>1988291.9183107968</v>
      </c>
      <c r="J69" s="572">
        <f>SUM(J66:J68)</f>
        <v>897067.91414779879</v>
      </c>
      <c r="K69" s="572">
        <f>SUM(K66:K68)</f>
        <v>523218.8460640962</v>
      </c>
      <c r="L69" s="572">
        <f>SUM(L66:L68)</f>
        <v>775048.01209512213</v>
      </c>
    </row>
    <row r="71" spans="5:12" x14ac:dyDescent="0.2">
      <c r="G71" s="153" t="s">
        <v>792</v>
      </c>
      <c r="H71" s="541">
        <f>(H50*1000)/H7/52</f>
        <v>9.2033256204329348</v>
      </c>
      <c r="I71" s="172"/>
      <c r="J71" s="172"/>
      <c r="K71" s="172"/>
      <c r="L71" s="172"/>
    </row>
    <row r="72" spans="5:12" x14ac:dyDescent="0.2">
      <c r="E72" s="541"/>
      <c r="G72" s="153" t="s">
        <v>793</v>
      </c>
      <c r="H72" s="541">
        <f>(H50*1000)/H8/52</f>
        <v>22.326869948990328</v>
      </c>
    </row>
    <row r="73" spans="5:12" x14ac:dyDescent="0.2">
      <c r="E73" s="596"/>
      <c r="H73" s="203"/>
      <c r="I73" s="203"/>
      <c r="J73" s="203"/>
      <c r="K73" s="203"/>
    </row>
    <row r="74" spans="5:12" x14ac:dyDescent="0.2">
      <c r="E74" s="251"/>
    </row>
    <row r="75" spans="5:12" x14ac:dyDescent="0.2">
      <c r="E75" s="251"/>
    </row>
  </sheetData>
  <mergeCells count="6">
    <mergeCell ref="A33:F33"/>
    <mergeCell ref="A1:F1"/>
    <mergeCell ref="G1:L1"/>
    <mergeCell ref="A3:F3"/>
    <mergeCell ref="G3:L3"/>
    <mergeCell ref="G10:L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B4B80-6CD4-426B-830F-62B2516087E4}">
  <dimension ref="A1:AS205"/>
  <sheetViews>
    <sheetView workbookViewId="0">
      <pane xSplit="3" ySplit="4" topLeftCell="D125" activePane="bottomRight" state="frozen"/>
      <selection pane="topRight" activeCell="D1" sqref="D1"/>
      <selection pane="bottomLeft" activeCell="A5" sqref="A5"/>
      <selection pane="bottomRight" activeCell="X135" sqref="X135"/>
    </sheetView>
  </sheetViews>
  <sheetFormatPr defaultColWidth="9.140625" defaultRowHeight="12.75" x14ac:dyDescent="0.2"/>
  <cols>
    <col min="1" max="1" width="5.28515625" style="138" bestFit="1" customWidth="1"/>
    <col min="2" max="2" width="26" style="138" bestFit="1" customWidth="1"/>
    <col min="3" max="3" width="13.5703125" style="138" bestFit="1" customWidth="1"/>
    <col min="4" max="4" width="3" style="236" bestFit="1" customWidth="1"/>
    <col min="5" max="5" width="0.85546875" style="138" customWidth="1"/>
    <col min="6" max="6" width="9.5703125" style="228" bestFit="1" customWidth="1"/>
    <col min="7" max="7" width="9.42578125" style="228" bestFit="1" customWidth="1"/>
    <col min="8" max="9" width="8.42578125" style="228" bestFit="1" customWidth="1"/>
    <col min="10" max="10" width="9.42578125" style="228" bestFit="1" customWidth="1"/>
    <col min="11" max="11" width="8.42578125" style="228" bestFit="1" customWidth="1"/>
    <col min="12" max="12" width="9.5703125" style="228" bestFit="1" customWidth="1"/>
    <col min="13" max="13" width="9.42578125" style="228" bestFit="1" customWidth="1"/>
    <col min="14" max="14" width="9" style="228" bestFit="1" customWidth="1"/>
    <col min="15" max="15" width="0.85546875" style="228" customWidth="1"/>
    <col min="16" max="17" width="9.85546875" style="138" customWidth="1"/>
    <col min="18" max="18" width="9" style="138" customWidth="1"/>
    <col min="19" max="19" width="8.7109375" style="138" customWidth="1"/>
    <col min="20" max="20" width="1.7109375" style="138" customWidth="1"/>
    <col min="21" max="21" width="9.140625" style="153" bestFit="1"/>
    <col min="22" max="22" width="10" style="153" bestFit="1" customWidth="1"/>
    <col min="23" max="23" width="9.140625" style="138"/>
    <col min="24" max="24" width="10.42578125" style="138" bestFit="1" customWidth="1"/>
    <col min="25" max="40" width="9.140625" style="138"/>
    <col min="41" max="41" width="2.7109375" style="138" customWidth="1"/>
    <col min="42" max="42" width="10.5703125" style="138" customWidth="1"/>
    <col min="43" max="43" width="9" style="138" customWidth="1"/>
    <col min="44" max="16384" width="9.140625" style="138"/>
  </cols>
  <sheetData>
    <row r="1" spans="1:45" s="132" customFormat="1" ht="15.75" x14ac:dyDescent="0.25">
      <c r="A1" s="647" t="s">
        <v>539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8"/>
      <c r="U1" s="133"/>
      <c r="V1" s="133"/>
    </row>
    <row r="2" spans="1:45" ht="15.75" x14ac:dyDescent="0.25">
      <c r="A2" s="134"/>
      <c r="B2" s="135"/>
      <c r="C2" s="136"/>
      <c r="D2" s="136"/>
      <c r="E2" s="137"/>
      <c r="F2" s="649" t="s">
        <v>540</v>
      </c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1"/>
      <c r="U2" s="636" t="s">
        <v>541</v>
      </c>
      <c r="V2" s="636"/>
      <c r="AF2" s="638" t="s">
        <v>542</v>
      </c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639"/>
      <c r="AS2" s="640"/>
    </row>
    <row r="3" spans="1:45" ht="15.75" customHeight="1" thickBot="1" x14ac:dyDescent="0.3">
      <c r="A3" s="134"/>
      <c r="B3" s="239" t="s">
        <v>181</v>
      </c>
      <c r="C3" s="136"/>
      <c r="D3" s="136"/>
      <c r="E3" s="139"/>
      <c r="F3" s="635" t="s">
        <v>543</v>
      </c>
      <c r="G3" s="635"/>
      <c r="H3" s="635"/>
      <c r="I3" s="635" t="s">
        <v>544</v>
      </c>
      <c r="J3" s="635"/>
      <c r="K3" s="635"/>
      <c r="L3" s="635" t="s">
        <v>545</v>
      </c>
      <c r="M3" s="635"/>
      <c r="N3" s="635"/>
      <c r="O3" s="140"/>
      <c r="P3" s="644" t="s">
        <v>546</v>
      </c>
      <c r="Q3" s="646" t="s">
        <v>547</v>
      </c>
      <c r="R3" s="641" t="s">
        <v>548</v>
      </c>
      <c r="S3" s="642" t="s">
        <v>549</v>
      </c>
      <c r="U3" s="637"/>
      <c r="V3" s="637"/>
      <c r="AF3" s="635" t="s">
        <v>543</v>
      </c>
      <c r="AG3" s="635"/>
      <c r="AH3" s="635"/>
      <c r="AI3" s="635" t="s">
        <v>544</v>
      </c>
      <c r="AJ3" s="635"/>
      <c r="AK3" s="635"/>
      <c r="AL3" s="635" t="s">
        <v>545</v>
      </c>
      <c r="AM3" s="635"/>
      <c r="AN3" s="635"/>
      <c r="AO3" s="140"/>
      <c r="AP3" s="644" t="s">
        <v>550</v>
      </c>
      <c r="AQ3" s="646" t="s">
        <v>547</v>
      </c>
      <c r="AR3" s="641" t="s">
        <v>548</v>
      </c>
      <c r="AS3" s="642" t="s">
        <v>549</v>
      </c>
    </row>
    <row r="4" spans="1:45" ht="60" x14ac:dyDescent="0.25">
      <c r="A4" s="7" t="s">
        <v>39</v>
      </c>
      <c r="B4" s="33" t="s">
        <v>40</v>
      </c>
      <c r="C4" s="32" t="s">
        <v>15</v>
      </c>
      <c r="D4" s="34" t="s">
        <v>5</v>
      </c>
      <c r="E4" s="141"/>
      <c r="F4" s="35" t="s">
        <v>551</v>
      </c>
      <c r="G4" s="35" t="s">
        <v>552</v>
      </c>
      <c r="H4" s="35" t="s">
        <v>553</v>
      </c>
      <c r="I4" s="35" t="s">
        <v>554</v>
      </c>
      <c r="J4" s="35" t="s">
        <v>552</v>
      </c>
      <c r="K4" s="35" t="s">
        <v>553</v>
      </c>
      <c r="L4" s="35" t="s">
        <v>554</v>
      </c>
      <c r="M4" s="35" t="s">
        <v>552</v>
      </c>
      <c r="N4" s="35" t="s">
        <v>553</v>
      </c>
      <c r="O4" s="140"/>
      <c r="P4" s="645"/>
      <c r="Q4" s="646"/>
      <c r="R4" s="641"/>
      <c r="S4" s="643"/>
      <c r="U4" s="142" t="s">
        <v>555</v>
      </c>
      <c r="V4" s="142" t="s">
        <v>556</v>
      </c>
      <c r="X4" s="143" t="s">
        <v>557</v>
      </c>
      <c r="Y4" s="144" t="s">
        <v>558</v>
      </c>
      <c r="Z4" s="144" t="s">
        <v>559</v>
      </c>
      <c r="AA4" s="144" t="s">
        <v>560</v>
      </c>
      <c r="AB4" s="144" t="s">
        <v>561</v>
      </c>
      <c r="AC4" s="144" t="s">
        <v>562</v>
      </c>
      <c r="AD4" s="144" t="s">
        <v>563</v>
      </c>
      <c r="AF4" s="35" t="s">
        <v>564</v>
      </c>
      <c r="AG4" s="35" t="s">
        <v>565</v>
      </c>
      <c r="AH4" s="35" t="s">
        <v>566</v>
      </c>
      <c r="AI4" s="35" t="s">
        <v>567</v>
      </c>
      <c r="AJ4" s="35" t="s">
        <v>565</v>
      </c>
      <c r="AK4" s="35" t="s">
        <v>566</v>
      </c>
      <c r="AL4" s="35" t="s">
        <v>567</v>
      </c>
      <c r="AM4" s="35" t="s">
        <v>565</v>
      </c>
      <c r="AN4" s="35" t="s">
        <v>566</v>
      </c>
      <c r="AO4" s="140"/>
      <c r="AP4" s="645"/>
      <c r="AQ4" s="646"/>
      <c r="AR4" s="641"/>
      <c r="AS4" s="643"/>
    </row>
    <row r="5" spans="1:45" ht="15.75" x14ac:dyDescent="0.25">
      <c r="A5" s="9">
        <v>10050</v>
      </c>
      <c r="B5" s="9" t="s">
        <v>78</v>
      </c>
      <c r="C5" s="9" t="s">
        <v>73</v>
      </c>
      <c r="D5" s="29" t="s">
        <v>1</v>
      </c>
      <c r="E5" s="145"/>
      <c r="F5" s="146">
        <f>'App 4 - Recyclables'!V5</f>
        <v>9656.1675632345759</v>
      </c>
      <c r="G5" s="146">
        <f>'App 4 - Recyclables'!W5</f>
        <v>9307.6275632345769</v>
      </c>
      <c r="H5" s="146">
        <f>'App 4 - Recyclables'!X5</f>
        <v>348.54</v>
      </c>
      <c r="I5" s="146">
        <f>'App 5 - Organics'!V5</f>
        <v>19292.11</v>
      </c>
      <c r="J5" s="146">
        <f>'App 5 - Organics'!W5</f>
        <v>19257.11</v>
      </c>
      <c r="K5" s="146">
        <f>'App 5 - Organics'!X5</f>
        <v>35</v>
      </c>
      <c r="L5" s="147">
        <f>'App 6 - Residual Waste'!AC5</f>
        <v>11528.439999999999</v>
      </c>
      <c r="M5" s="147">
        <f>'App 6 - Residual Waste'!AD5</f>
        <v>164</v>
      </c>
      <c r="N5" s="147">
        <f>'App 6 - Residual Waste'!AE5</f>
        <v>11364.439999999999</v>
      </c>
      <c r="O5" s="140"/>
      <c r="P5" s="147">
        <f t="shared" ref="P5:R36" si="0">F5+I5+L5</f>
        <v>40476.717563234575</v>
      </c>
      <c r="Q5" s="147">
        <f t="shared" si="0"/>
        <v>28728.737563234579</v>
      </c>
      <c r="R5" s="147">
        <f t="shared" si="0"/>
        <v>11747.98</v>
      </c>
      <c r="S5" s="148">
        <f t="shared" ref="S5:S68" si="1">Q5/P5</f>
        <v>0.70975956778988403</v>
      </c>
      <c r="U5" s="149">
        <f>(P5*1000)/'App 1 - Services'!F5/52</f>
        <v>14.138559888794624</v>
      </c>
      <c r="V5" s="149">
        <f>(P5*1000)/'App 1 - Services'!G5/52</f>
        <v>30.744861943186191</v>
      </c>
      <c r="X5" s="150">
        <f t="shared" ref="X5:X68" si="2">S5</f>
        <v>0.70975956778988403</v>
      </c>
      <c r="Y5" s="151">
        <f t="shared" ref="Y5:Y68" si="3">F5</f>
        <v>9656.1675632345759</v>
      </c>
      <c r="Z5" s="152">
        <f t="shared" ref="Z5:Z68" si="4">Y5/P5</f>
        <v>0.23856103321988179</v>
      </c>
      <c r="AA5" s="151">
        <f t="shared" ref="AA5:AA68" si="5">I5</f>
        <v>19292.11</v>
      </c>
      <c r="AB5" s="152">
        <f t="shared" ref="AB5:AB68" si="6">AA5/P5</f>
        <v>0.4766223933514615</v>
      </c>
      <c r="AC5" s="151">
        <f t="shared" ref="AC5:AC68" si="7">L5</f>
        <v>11528.439999999999</v>
      </c>
      <c r="AD5" s="152">
        <f t="shared" ref="AD5:AD68" si="8">AC5/P5</f>
        <v>0.28481657342865668</v>
      </c>
      <c r="AF5" s="146">
        <f>'[1]App 4-Recyclables'!V5+'[1]App 4-Recyclables'!AB5</f>
        <v>9656.1675632345759</v>
      </c>
      <c r="AG5" s="146">
        <f>'[1]App 4-Recyclables'!W5+'[1]App 4-Recyclables'!AC5</f>
        <v>9307.6275632345769</v>
      </c>
      <c r="AH5" s="146">
        <f>'[1]App 4-Recyclables'!X5+'[1]App 4-Recyclables'!AD5</f>
        <v>348.54</v>
      </c>
      <c r="AI5" s="146">
        <f>'[1]App 5-Organics'!V5+'[1]App 5-Organics'!AD5</f>
        <v>19893.36</v>
      </c>
      <c r="AJ5" s="146">
        <f>'[1]App 5-Organics'!W5+'[1]App 5-Organics'!AE5</f>
        <v>19858.11</v>
      </c>
      <c r="AK5" s="146">
        <f>'[1]App 5-Organics'!X5+'[1]App 5-Organics'!AF5</f>
        <v>35</v>
      </c>
      <c r="AL5" s="147">
        <f>'[1]App 6-Residual Waste'!AC5+'[1]App 6-Residual Waste'!AI5</f>
        <v>13109.649999999998</v>
      </c>
      <c r="AM5" s="147">
        <f>'[1]App 6-Residual Waste'!AD5+'[1]App 6-Residual Waste'!AJ5</f>
        <v>164</v>
      </c>
      <c r="AN5" s="147">
        <f>'[1]App 6-Residual Waste'!AE5+'[1]App 6-Residual Waste'!AK5</f>
        <v>12945.649999999998</v>
      </c>
      <c r="AO5" s="140"/>
      <c r="AP5" s="147">
        <f>AF5+AI5+AL5</f>
        <v>42659.177563234574</v>
      </c>
      <c r="AQ5" s="147">
        <f>AG5+AJ5+AM5</f>
        <v>29329.737563234579</v>
      </c>
      <c r="AR5" s="147">
        <f>AH5+AK5+AN5</f>
        <v>13329.189999999999</v>
      </c>
      <c r="AS5" s="148">
        <f>AQ5/AP5</f>
        <v>0.68753640455816356</v>
      </c>
    </row>
    <row r="6" spans="1:45" ht="15.75" x14ac:dyDescent="0.25">
      <c r="A6" s="8">
        <v>10130</v>
      </c>
      <c r="B6" s="8" t="s">
        <v>79</v>
      </c>
      <c r="C6" s="8" t="s">
        <v>17</v>
      </c>
      <c r="D6" s="29" t="s">
        <v>1</v>
      </c>
      <c r="E6" s="145"/>
      <c r="F6" s="146">
        <f>'App 4 - Recyclables'!V6</f>
        <v>4874.7605064331146</v>
      </c>
      <c r="G6" s="146">
        <f>'App 4 - Recyclables'!W6</f>
        <v>4781.0605064331139</v>
      </c>
      <c r="H6" s="146">
        <f>'App 4 - Recyclables'!X6</f>
        <v>93.699999999999989</v>
      </c>
      <c r="I6" s="146">
        <f>'App 5 - Organics'!V6</f>
        <v>4659.1000000000004</v>
      </c>
      <c r="J6" s="146">
        <f>'App 5 - Organics'!W6</f>
        <v>4628.4500000000007</v>
      </c>
      <c r="K6" s="146">
        <f>'App 5 - Organics'!X6</f>
        <v>30.65</v>
      </c>
      <c r="L6" s="147">
        <f>'App 6 - Residual Waste'!AC6</f>
        <v>11225</v>
      </c>
      <c r="M6" s="147">
        <f>'App 6 - Residual Waste'!AD6</f>
        <v>613.5</v>
      </c>
      <c r="N6" s="147">
        <f>'App 6 - Residual Waste'!AE6</f>
        <v>10611.5</v>
      </c>
      <c r="O6" s="140"/>
      <c r="P6" s="147">
        <f t="shared" si="0"/>
        <v>20758.860506433113</v>
      </c>
      <c r="Q6" s="147">
        <f t="shared" si="0"/>
        <v>10023.010506433115</v>
      </c>
      <c r="R6" s="147">
        <f t="shared" si="0"/>
        <v>10735.85</v>
      </c>
      <c r="S6" s="148">
        <f t="shared" si="1"/>
        <v>0.48283047633211906</v>
      </c>
      <c r="U6" s="149">
        <f>(P6*1000)/'App 1 - Services'!F6/52</f>
        <v>13.439565576789136</v>
      </c>
      <c r="V6" s="149">
        <f>(P6*1000)/'App 1 - Services'!G6/52</f>
        <v>30.975237111494764</v>
      </c>
      <c r="X6" s="150">
        <f t="shared" si="2"/>
        <v>0.48283047633211906</v>
      </c>
      <c r="Y6" s="151">
        <f t="shared" si="3"/>
        <v>4874.7605064331146</v>
      </c>
      <c r="Z6" s="152">
        <f t="shared" si="4"/>
        <v>0.23482794274389193</v>
      </c>
      <c r="AA6" s="151">
        <f t="shared" si="5"/>
        <v>4659.1000000000004</v>
      </c>
      <c r="AB6" s="152">
        <f t="shared" si="6"/>
        <v>0.22443910148903204</v>
      </c>
      <c r="AC6" s="151">
        <f t="shared" si="7"/>
        <v>11225</v>
      </c>
      <c r="AD6" s="152">
        <f t="shared" si="8"/>
        <v>0.54073295576707614</v>
      </c>
      <c r="AF6" s="146">
        <f>'[1]App 4-Recyclables'!V6+'[1]App 4-Recyclables'!AB6</f>
        <v>4874.7605064331146</v>
      </c>
      <c r="AG6" s="146">
        <f>'[1]App 4-Recyclables'!W6+'[1]App 4-Recyclables'!AC6</f>
        <v>4781.0605064331139</v>
      </c>
      <c r="AH6" s="146">
        <f>'[1]App 4-Recyclables'!X6+'[1]App 4-Recyclables'!AD6</f>
        <v>93.699999999999989</v>
      </c>
      <c r="AI6" s="146">
        <f>'[1]App 5-Organics'!V6+'[1]App 5-Organics'!AD6</f>
        <v>4659.1000000000004</v>
      </c>
      <c r="AJ6" s="146">
        <f>'[1]App 5-Organics'!W6+'[1]App 5-Organics'!AE6</f>
        <v>4628.4500000000007</v>
      </c>
      <c r="AK6" s="146">
        <f>'[1]App 5-Organics'!X6+'[1]App 5-Organics'!AF6</f>
        <v>30.65</v>
      </c>
      <c r="AL6" s="147">
        <f>'[1]App 6-Residual Waste'!AC6+'[1]App 6-Residual Waste'!AI6</f>
        <v>11727.4</v>
      </c>
      <c r="AM6" s="147">
        <f>'[1]App 6-Residual Waste'!AD6+'[1]App 6-Residual Waste'!AJ6</f>
        <v>613.5</v>
      </c>
      <c r="AN6" s="147">
        <f>'[1]App 6-Residual Waste'!AE6+'[1]App 6-Residual Waste'!AK6</f>
        <v>11113.9</v>
      </c>
      <c r="AO6" s="140"/>
      <c r="AP6" s="147">
        <f t="shared" ref="AP6:AR69" si="9">AF6+AI6+AL6</f>
        <v>21261.260506433115</v>
      </c>
      <c r="AQ6" s="147">
        <f t="shared" si="9"/>
        <v>10023.010506433115</v>
      </c>
      <c r="AR6" s="147">
        <f t="shared" si="9"/>
        <v>11238.25</v>
      </c>
      <c r="AS6" s="148">
        <f t="shared" ref="AS6:AS69" si="10">AQ6/AP6</f>
        <v>0.47142127360700969</v>
      </c>
    </row>
    <row r="7" spans="1:45" ht="15.75" x14ac:dyDescent="0.25">
      <c r="A7" s="8">
        <v>10250</v>
      </c>
      <c r="B7" s="8" t="s">
        <v>80</v>
      </c>
      <c r="C7" s="8" t="s">
        <v>20</v>
      </c>
      <c r="D7" s="29" t="s">
        <v>4</v>
      </c>
      <c r="E7" s="145"/>
      <c r="F7" s="146">
        <f>'App 4 - Recyclables'!V7</f>
        <v>6710.9057636348243</v>
      </c>
      <c r="G7" s="146">
        <f>'App 4 - Recyclables'!W7</f>
        <v>5464.6457636348241</v>
      </c>
      <c r="H7" s="146">
        <f>'App 4 - Recyclables'!X7</f>
        <v>1246.26</v>
      </c>
      <c r="I7" s="146">
        <f>'App 5 - Organics'!V7</f>
        <v>8551.7999999999993</v>
      </c>
      <c r="J7" s="146">
        <f>'App 5 - Organics'!W7</f>
        <v>8551.7999999999993</v>
      </c>
      <c r="K7" s="146">
        <f>'App 5 - Organics'!X7</f>
        <v>0</v>
      </c>
      <c r="L7" s="147">
        <f>'App 6 - Residual Waste'!AC7</f>
        <v>11493.01</v>
      </c>
      <c r="M7" s="147">
        <f>'App 6 - Residual Waste'!AD7</f>
        <v>310.2</v>
      </c>
      <c r="N7" s="147">
        <f>'App 6 - Residual Waste'!AE7</f>
        <v>11182.810000000001</v>
      </c>
      <c r="O7" s="140"/>
      <c r="P7" s="147">
        <f t="shared" si="0"/>
        <v>26755.715763634824</v>
      </c>
      <c r="Q7" s="147">
        <f t="shared" si="0"/>
        <v>14326.645763634824</v>
      </c>
      <c r="R7" s="147">
        <f t="shared" si="0"/>
        <v>12429.070000000002</v>
      </c>
      <c r="S7" s="148">
        <f t="shared" si="1"/>
        <v>0.53546112876213769</v>
      </c>
      <c r="U7" s="149">
        <f>(P7*1000)/'App 1 - Services'!F7/52</f>
        <v>11.379193565573035</v>
      </c>
      <c r="V7" s="149">
        <f>(P7*1000)/'App 1 - Services'!G7/52</f>
        <v>25.827376541236614</v>
      </c>
      <c r="X7" s="150">
        <f t="shared" si="2"/>
        <v>0.53546112876213769</v>
      </c>
      <c r="Y7" s="151">
        <f t="shared" si="3"/>
        <v>6710.9057636348243</v>
      </c>
      <c r="Z7" s="152">
        <f t="shared" si="4"/>
        <v>0.25082138795763365</v>
      </c>
      <c r="AA7" s="151">
        <f t="shared" si="5"/>
        <v>8551.7999999999993</v>
      </c>
      <c r="AB7" s="152">
        <f t="shared" si="6"/>
        <v>0.31962516254650997</v>
      </c>
      <c r="AC7" s="151">
        <f t="shared" si="7"/>
        <v>11493.01</v>
      </c>
      <c r="AD7" s="152">
        <f t="shared" si="8"/>
        <v>0.42955344949585639</v>
      </c>
      <c r="AF7" s="146">
        <f>'[1]App 4-Recyclables'!V7+'[1]App 4-Recyclables'!AB7</f>
        <v>6710.9057636348243</v>
      </c>
      <c r="AG7" s="146">
        <f>'[1]App 4-Recyclables'!W7+'[1]App 4-Recyclables'!AC7</f>
        <v>5464.6457636348241</v>
      </c>
      <c r="AH7" s="146">
        <f>'[1]App 4-Recyclables'!X7+'[1]App 4-Recyclables'!AD7</f>
        <v>1246.26</v>
      </c>
      <c r="AI7" s="146">
        <f>'[1]App 5-Organics'!V7+'[1]App 5-Organics'!AD7</f>
        <v>9037.67</v>
      </c>
      <c r="AJ7" s="146">
        <f>'[1]App 5-Organics'!W7+'[1]App 5-Organics'!AE7</f>
        <v>9036.7999999999993</v>
      </c>
      <c r="AK7" s="146">
        <f>'[1]App 5-Organics'!X7+'[1]App 5-Organics'!AF7</f>
        <v>0</v>
      </c>
      <c r="AL7" s="147">
        <f>'[1]App 6-Residual Waste'!AC7+'[1]App 6-Residual Waste'!AI7</f>
        <v>12367.59</v>
      </c>
      <c r="AM7" s="147">
        <f>'[1]App 6-Residual Waste'!AD7+'[1]App 6-Residual Waste'!AJ7</f>
        <v>310.2</v>
      </c>
      <c r="AN7" s="147">
        <f>'[1]App 6-Residual Waste'!AE7+'[1]App 6-Residual Waste'!AK7</f>
        <v>12057.390000000001</v>
      </c>
      <c r="AO7" s="140"/>
      <c r="AP7" s="147">
        <f t="shared" si="9"/>
        <v>28116.165763634825</v>
      </c>
      <c r="AQ7" s="147">
        <f t="shared" si="9"/>
        <v>14811.645763634824</v>
      </c>
      <c r="AR7" s="147">
        <f t="shared" si="9"/>
        <v>13303.650000000001</v>
      </c>
      <c r="AS7" s="148">
        <f t="shared" si="10"/>
        <v>0.52680176550929514</v>
      </c>
    </row>
    <row r="8" spans="1:45" ht="15.75" x14ac:dyDescent="0.25">
      <c r="A8" s="8">
        <v>10300</v>
      </c>
      <c r="B8" s="8" t="s">
        <v>81</v>
      </c>
      <c r="C8" s="8" t="s">
        <v>73</v>
      </c>
      <c r="D8" s="29" t="s">
        <v>1</v>
      </c>
      <c r="E8" s="145"/>
      <c r="F8" s="146">
        <f>'App 4 - Recyclables'!V8</f>
        <v>20.042110611419595</v>
      </c>
      <c r="G8" s="146">
        <f>'App 4 - Recyclables'!W8</f>
        <v>20.042110611419595</v>
      </c>
      <c r="H8" s="146">
        <f>'App 4 - Recyclables'!X8</f>
        <v>0</v>
      </c>
      <c r="I8" s="146">
        <f>'App 5 - Organics'!V8</f>
        <v>0</v>
      </c>
      <c r="J8" s="146">
        <f>'App 5 - Organics'!W8</f>
        <v>0</v>
      </c>
      <c r="K8" s="146">
        <f>'App 5 - Organics'!X8</f>
        <v>0</v>
      </c>
      <c r="L8" s="147">
        <f>'App 6 - Residual Waste'!AC8</f>
        <v>625</v>
      </c>
      <c r="M8" s="147">
        <f>'App 6 - Residual Waste'!AD8</f>
        <v>0</v>
      </c>
      <c r="N8" s="147">
        <f>'App 6 - Residual Waste'!AE8</f>
        <v>625</v>
      </c>
      <c r="O8" s="140"/>
      <c r="P8" s="147">
        <f t="shared" si="0"/>
        <v>645.04211061141962</v>
      </c>
      <c r="Q8" s="147">
        <f t="shared" si="0"/>
        <v>20.042110611419595</v>
      </c>
      <c r="R8" s="147">
        <f t="shared" si="0"/>
        <v>625</v>
      </c>
      <c r="S8" s="148">
        <f t="shared" si="1"/>
        <v>3.1071011150608709E-2</v>
      </c>
      <c r="U8" s="149">
        <f>(P8*1000)/'App 1 - Services'!F8/52</f>
        <v>5.3792957386368307</v>
      </c>
      <c r="V8" s="149">
        <f>(P8*1000)/'App 1 - Services'!G8/52</f>
        <v>7.6383349589264355</v>
      </c>
      <c r="X8" s="150">
        <f t="shared" si="2"/>
        <v>3.1071011150608709E-2</v>
      </c>
      <c r="Y8" s="151">
        <f t="shared" si="3"/>
        <v>20.042110611419595</v>
      </c>
      <c r="Z8" s="152">
        <f t="shared" si="4"/>
        <v>3.1071011150608709E-2</v>
      </c>
      <c r="AA8" s="151">
        <f t="shared" si="5"/>
        <v>0</v>
      </c>
      <c r="AB8" s="152">
        <f t="shared" si="6"/>
        <v>0</v>
      </c>
      <c r="AC8" s="151">
        <f t="shared" si="7"/>
        <v>625</v>
      </c>
      <c r="AD8" s="152">
        <f t="shared" si="8"/>
        <v>0.96892898884939127</v>
      </c>
      <c r="AF8" s="146">
        <f>'[1]App 4-Recyclables'!V8+'[1]App 4-Recyclables'!AB8</f>
        <v>20.042110611419595</v>
      </c>
      <c r="AG8" s="146">
        <f>'[1]App 4-Recyclables'!W8+'[1]App 4-Recyclables'!AC8</f>
        <v>20.042110611419595</v>
      </c>
      <c r="AH8" s="146">
        <f>'[1]App 4-Recyclables'!X8+'[1]App 4-Recyclables'!AD8</f>
        <v>0</v>
      </c>
      <c r="AI8" s="146">
        <f>'[1]App 5-Organics'!V8+'[1]App 5-Organics'!AD8</f>
        <v>0</v>
      </c>
      <c r="AJ8" s="146">
        <f>'[1]App 5-Organics'!W8+'[1]App 5-Organics'!AE8</f>
        <v>0</v>
      </c>
      <c r="AK8" s="146">
        <f>'[1]App 5-Organics'!X8+'[1]App 5-Organics'!AF8</f>
        <v>0</v>
      </c>
      <c r="AL8" s="147">
        <f>'[1]App 6-Residual Waste'!AC8+'[1]App 6-Residual Waste'!AI8</f>
        <v>625</v>
      </c>
      <c r="AM8" s="147">
        <f>'[1]App 6-Residual Waste'!AD8+'[1]App 6-Residual Waste'!AJ8</f>
        <v>0</v>
      </c>
      <c r="AN8" s="147">
        <f>'[1]App 6-Residual Waste'!AE8+'[1]App 6-Residual Waste'!AK8</f>
        <v>625</v>
      </c>
      <c r="AO8" s="140"/>
      <c r="AP8" s="147">
        <f t="shared" si="9"/>
        <v>645.04211061141962</v>
      </c>
      <c r="AQ8" s="147">
        <f t="shared" si="9"/>
        <v>20.042110611419595</v>
      </c>
      <c r="AR8" s="147">
        <f t="shared" si="9"/>
        <v>625</v>
      </c>
      <c r="AS8" s="148">
        <f t="shared" si="10"/>
        <v>3.1071011150608709E-2</v>
      </c>
    </row>
    <row r="9" spans="1:45" ht="15.75" x14ac:dyDescent="0.25">
      <c r="A9" s="8">
        <v>10470</v>
      </c>
      <c r="B9" s="8" t="s">
        <v>82</v>
      </c>
      <c r="C9" s="8" t="s">
        <v>42</v>
      </c>
      <c r="D9" s="29" t="s">
        <v>1</v>
      </c>
      <c r="E9" s="145"/>
      <c r="F9" s="146">
        <f>'App 4 - Recyclables'!V9</f>
        <v>5589.4616702415215</v>
      </c>
      <c r="G9" s="146">
        <f>'App 4 - Recyclables'!W9</f>
        <v>5385.5616702415218</v>
      </c>
      <c r="H9" s="146">
        <f>'App 4 - Recyclables'!X9</f>
        <v>203.9</v>
      </c>
      <c r="I9" s="146">
        <f>'App 5 - Organics'!V9</f>
        <v>6308.8200000000006</v>
      </c>
      <c r="J9" s="146">
        <f>'App 5 - Organics'!W9</f>
        <v>6252.6200000000008</v>
      </c>
      <c r="K9" s="146">
        <f>'App 5 - Organics'!X9</f>
        <v>56.2</v>
      </c>
      <c r="L9" s="147">
        <f>'App 6 - Residual Waste'!AC9</f>
        <v>20697.650000000001</v>
      </c>
      <c r="M9" s="147">
        <f>'App 6 - Residual Waste'!AD9</f>
        <v>94.4</v>
      </c>
      <c r="N9" s="147">
        <f>'App 6 - Residual Waste'!AE9</f>
        <v>20603.25</v>
      </c>
      <c r="O9" s="140"/>
      <c r="P9" s="147">
        <f t="shared" si="0"/>
        <v>32595.931670241524</v>
      </c>
      <c r="Q9" s="147">
        <f t="shared" si="0"/>
        <v>11732.581670241523</v>
      </c>
      <c r="R9" s="147">
        <f t="shared" si="0"/>
        <v>20863.349999999999</v>
      </c>
      <c r="S9" s="148">
        <f t="shared" si="1"/>
        <v>0.35994006211986235</v>
      </c>
      <c r="U9" s="149">
        <f>(P9*1000)/'App 1 - Services'!F9/52</f>
        <v>14.247768883815278</v>
      </c>
      <c r="V9" s="149">
        <f>(P9*1000)/'App 1 - Services'!G9/52</f>
        <v>31.214263510224928</v>
      </c>
      <c r="X9" s="150">
        <f t="shared" si="2"/>
        <v>0.35994006211986235</v>
      </c>
      <c r="Y9" s="151">
        <f t="shared" si="3"/>
        <v>5589.4616702415215</v>
      </c>
      <c r="Z9" s="152">
        <f t="shared" si="4"/>
        <v>0.17147727902940796</v>
      </c>
      <c r="AA9" s="151">
        <f t="shared" si="5"/>
        <v>6308.8200000000006</v>
      </c>
      <c r="AB9" s="152">
        <f t="shared" si="6"/>
        <v>0.19354623956828459</v>
      </c>
      <c r="AC9" s="151">
        <f t="shared" si="7"/>
        <v>20697.650000000001</v>
      </c>
      <c r="AD9" s="152">
        <f t="shared" si="8"/>
        <v>0.63497648140230745</v>
      </c>
      <c r="AF9" s="146">
        <f>'[1]App 4-Recyclables'!V9+'[1]App 4-Recyclables'!AB9</f>
        <v>5589.4616702415215</v>
      </c>
      <c r="AG9" s="146">
        <f>'[1]App 4-Recyclables'!W9+'[1]App 4-Recyclables'!AC9</f>
        <v>5385.5616702415218</v>
      </c>
      <c r="AH9" s="146">
        <f>'[1]App 4-Recyclables'!X9+'[1]App 4-Recyclables'!AD9</f>
        <v>203.9</v>
      </c>
      <c r="AI9" s="146">
        <f>'[1]App 5-Organics'!V9+'[1]App 5-Organics'!AD9</f>
        <v>7161.8200000000006</v>
      </c>
      <c r="AJ9" s="146">
        <f>'[1]App 5-Organics'!W9+'[1]App 5-Organics'!AE9</f>
        <v>7105.6200000000008</v>
      </c>
      <c r="AK9" s="146">
        <f>'[1]App 5-Organics'!X9+'[1]App 5-Organics'!AF9</f>
        <v>56.2</v>
      </c>
      <c r="AL9" s="147">
        <f>'[1]App 6-Residual Waste'!AC9+'[1]App 6-Residual Waste'!AI9</f>
        <v>47174.65</v>
      </c>
      <c r="AM9" s="147">
        <f>'[1]App 6-Residual Waste'!AD9+'[1]App 6-Residual Waste'!AJ9</f>
        <v>94.4</v>
      </c>
      <c r="AN9" s="147">
        <f>'[1]App 6-Residual Waste'!AE9+'[1]App 6-Residual Waste'!AK9</f>
        <v>47080.25</v>
      </c>
      <c r="AO9" s="140"/>
      <c r="AP9" s="147">
        <f t="shared" si="9"/>
        <v>59925.931670241524</v>
      </c>
      <c r="AQ9" s="147">
        <f t="shared" si="9"/>
        <v>12585.581670241523</v>
      </c>
      <c r="AR9" s="147">
        <f t="shared" si="9"/>
        <v>47340.35</v>
      </c>
      <c r="AS9" s="148">
        <f t="shared" si="10"/>
        <v>0.21001895706014309</v>
      </c>
    </row>
    <row r="10" spans="1:45" ht="15.75" x14ac:dyDescent="0.25">
      <c r="A10" s="8">
        <v>10500</v>
      </c>
      <c r="B10" s="8" t="s">
        <v>23</v>
      </c>
      <c r="C10" s="8" t="s">
        <v>18</v>
      </c>
      <c r="D10" s="29" t="s">
        <v>3</v>
      </c>
      <c r="E10" s="145"/>
      <c r="F10" s="146">
        <f>'App 4 - Recyclables'!V10</f>
        <v>13808.17066299012</v>
      </c>
      <c r="G10" s="146">
        <f>'App 4 - Recyclables'!W10</f>
        <v>12519.870662990121</v>
      </c>
      <c r="H10" s="146">
        <f>'App 4 - Recyclables'!X10</f>
        <v>1288.3</v>
      </c>
      <c r="I10" s="146">
        <f>'App 5 - Organics'!V10</f>
        <v>2060</v>
      </c>
      <c r="J10" s="146">
        <f>'App 5 - Organics'!W10</f>
        <v>2022</v>
      </c>
      <c r="K10" s="146">
        <f>'App 5 - Organics'!X10</f>
        <v>38</v>
      </c>
      <c r="L10" s="147">
        <f>'App 6 - Residual Waste'!AC10</f>
        <v>53546</v>
      </c>
      <c r="M10" s="147">
        <f>'App 6 - Residual Waste'!AD10</f>
        <v>21630.95</v>
      </c>
      <c r="N10" s="147">
        <f>'App 6 - Residual Waste'!AE10</f>
        <v>31915.05</v>
      </c>
      <c r="O10" s="140"/>
      <c r="P10" s="147">
        <f t="shared" si="0"/>
        <v>69414.170662990116</v>
      </c>
      <c r="Q10" s="147">
        <f t="shared" si="0"/>
        <v>36172.820662990125</v>
      </c>
      <c r="R10" s="147">
        <f t="shared" si="0"/>
        <v>33241.35</v>
      </c>
      <c r="S10" s="148">
        <f t="shared" si="1"/>
        <v>0.52111579404458064</v>
      </c>
      <c r="U10" s="149">
        <f>(P10*1000)/'App 1 - Services'!F10/52</f>
        <v>7.3558890482564516</v>
      </c>
      <c r="V10" s="149">
        <f>(P10*1000)/'App 1 - Services'!G10/52</f>
        <v>20.02351869566488</v>
      </c>
      <c r="X10" s="150">
        <f t="shared" si="2"/>
        <v>0.52111579404458064</v>
      </c>
      <c r="Y10" s="151">
        <f t="shared" si="3"/>
        <v>13808.17066299012</v>
      </c>
      <c r="Z10" s="152">
        <f t="shared" si="4"/>
        <v>0.19892437712797292</v>
      </c>
      <c r="AA10" s="151">
        <f t="shared" si="5"/>
        <v>2060</v>
      </c>
      <c r="AB10" s="152">
        <f t="shared" si="6"/>
        <v>2.967693743690206E-2</v>
      </c>
      <c r="AC10" s="151">
        <f t="shared" si="7"/>
        <v>53546</v>
      </c>
      <c r="AD10" s="152">
        <f t="shared" si="8"/>
        <v>0.77139868543512502</v>
      </c>
      <c r="AF10" s="146">
        <f>'[1]App 4-Recyclables'!V10+'[1]App 4-Recyclables'!AB10</f>
        <v>13808.17066299012</v>
      </c>
      <c r="AG10" s="146">
        <f>'[1]App 4-Recyclables'!W10+'[1]App 4-Recyclables'!AC10</f>
        <v>12519.870662990121</v>
      </c>
      <c r="AH10" s="146">
        <f>'[1]App 4-Recyclables'!X10+'[1]App 4-Recyclables'!AD10</f>
        <v>1288.3</v>
      </c>
      <c r="AI10" s="146">
        <f>'[1]App 5-Organics'!V10+'[1]App 5-Organics'!AD10</f>
        <v>2060</v>
      </c>
      <c r="AJ10" s="146">
        <f>'[1]App 5-Organics'!W10+'[1]App 5-Organics'!AE10</f>
        <v>2022</v>
      </c>
      <c r="AK10" s="146">
        <f>'[1]App 5-Organics'!X10+'[1]App 5-Organics'!AF10</f>
        <v>38</v>
      </c>
      <c r="AL10" s="147">
        <f>'[1]App 6-Residual Waste'!AC10+'[1]App 6-Residual Waste'!AI10</f>
        <v>53546</v>
      </c>
      <c r="AM10" s="147">
        <f>'[1]App 6-Residual Waste'!AD10+'[1]App 6-Residual Waste'!AJ10</f>
        <v>21630.95</v>
      </c>
      <c r="AN10" s="147">
        <f>'[1]App 6-Residual Waste'!AE10+'[1]App 6-Residual Waste'!AK10</f>
        <v>31915.05</v>
      </c>
      <c r="AO10" s="140"/>
      <c r="AP10" s="147">
        <f t="shared" si="9"/>
        <v>69414.170662990116</v>
      </c>
      <c r="AQ10" s="147">
        <f t="shared" si="9"/>
        <v>36172.820662990125</v>
      </c>
      <c r="AR10" s="147">
        <f t="shared" si="9"/>
        <v>33241.35</v>
      </c>
      <c r="AS10" s="148">
        <f t="shared" si="10"/>
        <v>0.52111579404458064</v>
      </c>
    </row>
    <row r="11" spans="1:45" ht="15.75" x14ac:dyDescent="0.25">
      <c r="A11" s="8">
        <v>10550</v>
      </c>
      <c r="B11" s="8" t="s">
        <v>83</v>
      </c>
      <c r="C11" s="8" t="s">
        <v>74</v>
      </c>
      <c r="D11" s="29" t="s">
        <v>1</v>
      </c>
      <c r="E11" s="145"/>
      <c r="F11" s="146">
        <f>'App 4 - Recyclables'!V11</f>
        <v>8982.8877436822204</v>
      </c>
      <c r="G11" s="146">
        <f>'App 4 - Recyclables'!W11</f>
        <v>8782.8877436822204</v>
      </c>
      <c r="H11" s="146">
        <f>'App 4 - Recyclables'!X11</f>
        <v>200</v>
      </c>
      <c r="I11" s="146">
        <f>'App 5 - Organics'!V11</f>
        <v>15682</v>
      </c>
      <c r="J11" s="146">
        <f>'App 5 - Organics'!W11</f>
        <v>15379</v>
      </c>
      <c r="K11" s="146">
        <f>'App 5 - Organics'!X11</f>
        <v>303</v>
      </c>
      <c r="L11" s="147">
        <f>'App 6 - Residual Waste'!AC11</f>
        <v>11341.7</v>
      </c>
      <c r="M11" s="147">
        <f>'App 6 - Residual Waste'!AD11</f>
        <v>61.7</v>
      </c>
      <c r="N11" s="147">
        <f>'App 6 - Residual Waste'!AE11</f>
        <v>11280</v>
      </c>
      <c r="O11" s="140"/>
      <c r="P11" s="147">
        <f t="shared" si="0"/>
        <v>36006.587743682219</v>
      </c>
      <c r="Q11" s="147">
        <f t="shared" si="0"/>
        <v>24223.587743682223</v>
      </c>
      <c r="R11" s="147">
        <f t="shared" si="0"/>
        <v>11783</v>
      </c>
      <c r="S11" s="148">
        <f t="shared" si="1"/>
        <v>0.67275432807243829</v>
      </c>
      <c r="U11" s="149">
        <f>(P11*1000)/'App 1 - Services'!F11/52</f>
        <v>19.939366478135071</v>
      </c>
      <c r="V11" s="149">
        <f>(P11*1000)/'App 1 - Services'!G11/52</f>
        <v>39.398826724676901</v>
      </c>
      <c r="X11" s="150">
        <f t="shared" si="2"/>
        <v>0.67275432807243829</v>
      </c>
      <c r="Y11" s="151">
        <f t="shared" si="3"/>
        <v>8982.8877436822204</v>
      </c>
      <c r="Z11" s="152">
        <f t="shared" si="4"/>
        <v>0.24947900666478384</v>
      </c>
      <c r="AA11" s="151">
        <f t="shared" si="5"/>
        <v>15682</v>
      </c>
      <c r="AB11" s="152">
        <f t="shared" si="6"/>
        <v>0.43553141196367856</v>
      </c>
      <c r="AC11" s="151">
        <f t="shared" si="7"/>
        <v>11341.7</v>
      </c>
      <c r="AD11" s="152">
        <f t="shared" si="8"/>
        <v>0.31498958137153765</v>
      </c>
      <c r="AF11" s="146">
        <f>'[1]App 4-Recyclables'!V11+'[1]App 4-Recyclables'!AB11</f>
        <v>8982.8877436822204</v>
      </c>
      <c r="AG11" s="146">
        <f>'[1]App 4-Recyclables'!W11+'[1]App 4-Recyclables'!AC11</f>
        <v>8782.8877436822204</v>
      </c>
      <c r="AH11" s="146">
        <f>'[1]App 4-Recyclables'!X11+'[1]App 4-Recyclables'!AD11</f>
        <v>200</v>
      </c>
      <c r="AI11" s="146">
        <f>'[1]App 5-Organics'!V11+'[1]App 5-Organics'!AD11</f>
        <v>15682</v>
      </c>
      <c r="AJ11" s="146">
        <f>'[1]App 5-Organics'!W11+'[1]App 5-Organics'!AE11</f>
        <v>15379</v>
      </c>
      <c r="AK11" s="146">
        <f>'[1]App 5-Organics'!X11+'[1]App 5-Organics'!AF11</f>
        <v>303</v>
      </c>
      <c r="AL11" s="147">
        <f>'[1]App 6-Residual Waste'!AC11+'[1]App 6-Residual Waste'!AI11</f>
        <v>11341.7</v>
      </c>
      <c r="AM11" s="147">
        <f>'[1]App 6-Residual Waste'!AD11+'[1]App 6-Residual Waste'!AJ11</f>
        <v>61.7</v>
      </c>
      <c r="AN11" s="147">
        <f>'[1]App 6-Residual Waste'!AE11+'[1]App 6-Residual Waste'!AK11</f>
        <v>11280</v>
      </c>
      <c r="AO11" s="140"/>
      <c r="AP11" s="147">
        <f t="shared" si="9"/>
        <v>36006.587743682219</v>
      </c>
      <c r="AQ11" s="147">
        <f t="shared" si="9"/>
        <v>24223.587743682223</v>
      </c>
      <c r="AR11" s="147">
        <f t="shared" si="9"/>
        <v>11783</v>
      </c>
      <c r="AS11" s="148">
        <f t="shared" si="10"/>
        <v>0.67275432807243829</v>
      </c>
    </row>
    <row r="12" spans="1:45" ht="15.75" x14ac:dyDescent="0.25">
      <c r="A12" s="8">
        <v>10600</v>
      </c>
      <c r="B12" s="8" t="s">
        <v>51</v>
      </c>
      <c r="C12" s="8" t="s">
        <v>43</v>
      </c>
      <c r="D12" s="29" t="s">
        <v>4</v>
      </c>
      <c r="E12" s="145"/>
      <c r="F12" s="146">
        <f>'App 4 - Recyclables'!V12</f>
        <v>1601.2132324145464</v>
      </c>
      <c r="G12" s="146">
        <f>'App 4 - Recyclables'!W12</f>
        <v>1489.7632324145466</v>
      </c>
      <c r="H12" s="146">
        <f>'App 4 - Recyclables'!X12</f>
        <v>111.45</v>
      </c>
      <c r="I12" s="146">
        <f>'App 5 - Organics'!V12</f>
        <v>2626.52</v>
      </c>
      <c r="J12" s="146">
        <f>'App 5 - Organics'!W12</f>
        <v>2626.52</v>
      </c>
      <c r="K12" s="146">
        <f>'App 5 - Organics'!X12</f>
        <v>0</v>
      </c>
      <c r="L12" s="147">
        <f>'App 6 - Residual Waste'!AC12</f>
        <v>3855.9</v>
      </c>
      <c r="M12" s="147">
        <f>'App 6 - Residual Waste'!AD12</f>
        <v>111.23000000000002</v>
      </c>
      <c r="N12" s="147">
        <f>'App 6 - Residual Waste'!AE12</f>
        <v>3744.67</v>
      </c>
      <c r="O12" s="140"/>
      <c r="P12" s="147">
        <f t="shared" si="0"/>
        <v>8083.633232414546</v>
      </c>
      <c r="Q12" s="147">
        <f t="shared" si="0"/>
        <v>4227.513232414547</v>
      </c>
      <c r="R12" s="147">
        <f t="shared" si="0"/>
        <v>3856.12</v>
      </c>
      <c r="S12" s="148">
        <f t="shared" si="1"/>
        <v>0.52297192498326739</v>
      </c>
      <c r="U12" s="149">
        <f>(P12*1000)/'App 1 - Services'!F12/52</f>
        <v>11.829730251787632</v>
      </c>
      <c r="V12" s="149">
        <f>(P12*1000)/'App 1 - Services'!G12/52</f>
        <v>25.909080873123546</v>
      </c>
      <c r="X12" s="150">
        <f t="shared" si="2"/>
        <v>0.52297192498326739</v>
      </c>
      <c r="Y12" s="151">
        <f t="shared" si="3"/>
        <v>1601.2132324145464</v>
      </c>
      <c r="Z12" s="152">
        <f t="shared" si="4"/>
        <v>0.19808088595532072</v>
      </c>
      <c r="AA12" s="151">
        <f t="shared" si="5"/>
        <v>2626.52</v>
      </c>
      <c r="AB12" s="152">
        <f t="shared" si="6"/>
        <v>0.32491825451307244</v>
      </c>
      <c r="AC12" s="151">
        <f t="shared" si="7"/>
        <v>3855.9</v>
      </c>
      <c r="AD12" s="152">
        <f t="shared" si="8"/>
        <v>0.47700085953160687</v>
      </c>
      <c r="AF12" s="146">
        <f>'[1]App 4-Recyclables'!V12+'[1]App 4-Recyclables'!AB12</f>
        <v>1601.2132324145464</v>
      </c>
      <c r="AG12" s="146">
        <f>'[1]App 4-Recyclables'!W12+'[1]App 4-Recyclables'!AC12</f>
        <v>1489.7632324145466</v>
      </c>
      <c r="AH12" s="146">
        <f>'[1]App 4-Recyclables'!X12+'[1]App 4-Recyclables'!AD12</f>
        <v>111.45</v>
      </c>
      <c r="AI12" s="146">
        <f>'[1]App 5-Organics'!V12+'[1]App 5-Organics'!AD12</f>
        <v>2626.52</v>
      </c>
      <c r="AJ12" s="146">
        <f>'[1]App 5-Organics'!W12+'[1]App 5-Organics'!AE12</f>
        <v>2626.52</v>
      </c>
      <c r="AK12" s="146">
        <f>'[1]App 5-Organics'!X12+'[1]App 5-Organics'!AF12</f>
        <v>0</v>
      </c>
      <c r="AL12" s="147">
        <f>'[1]App 6-Residual Waste'!AC12+'[1]App 6-Residual Waste'!AI12</f>
        <v>6040.9</v>
      </c>
      <c r="AM12" s="147">
        <f>'[1]App 6-Residual Waste'!AD12+'[1]App 6-Residual Waste'!AJ12</f>
        <v>2296.23</v>
      </c>
      <c r="AN12" s="147">
        <f>'[1]App 6-Residual Waste'!AE12+'[1]App 6-Residual Waste'!AK12</f>
        <v>3744.67</v>
      </c>
      <c r="AO12" s="140"/>
      <c r="AP12" s="147">
        <f t="shared" si="9"/>
        <v>10268.633232414546</v>
      </c>
      <c r="AQ12" s="147">
        <f t="shared" si="9"/>
        <v>6412.513232414547</v>
      </c>
      <c r="AR12" s="147">
        <f t="shared" si="9"/>
        <v>3856.12</v>
      </c>
      <c r="AS12" s="148">
        <f t="shared" si="10"/>
        <v>0.62447582723788853</v>
      </c>
    </row>
    <row r="13" spans="1:45" ht="15.75" x14ac:dyDescent="0.25">
      <c r="A13" s="8">
        <v>10650</v>
      </c>
      <c r="B13" s="8" t="s">
        <v>84</v>
      </c>
      <c r="C13" s="8" t="s">
        <v>73</v>
      </c>
      <c r="D13" s="29" t="s">
        <v>1</v>
      </c>
      <c r="E13" s="145"/>
      <c r="F13" s="146">
        <f>'App 4 - Recyclables'!V13</f>
        <v>1004.4170370299255</v>
      </c>
      <c r="G13" s="146">
        <f>'App 4 - Recyclables'!W13</f>
        <v>974.6670370299255</v>
      </c>
      <c r="H13" s="146">
        <f>'App 4 - Recyclables'!X13</f>
        <v>29.75</v>
      </c>
      <c r="I13" s="146">
        <f>'App 5 - Organics'!V13</f>
        <v>392.1</v>
      </c>
      <c r="J13" s="146">
        <f>'App 5 - Organics'!W13</f>
        <v>392.1</v>
      </c>
      <c r="K13" s="146">
        <f>'App 5 - Organics'!X13</f>
        <v>0</v>
      </c>
      <c r="L13" s="147">
        <f>'App 6 - Residual Waste'!AC13</f>
        <v>2021.17</v>
      </c>
      <c r="M13" s="147">
        <f>'App 6 - Residual Waste'!AD13</f>
        <v>0</v>
      </c>
      <c r="N13" s="147">
        <f>'App 6 - Residual Waste'!AE13</f>
        <v>2021.17</v>
      </c>
      <c r="O13" s="140"/>
      <c r="P13" s="147">
        <f t="shared" si="0"/>
        <v>3417.6870370299257</v>
      </c>
      <c r="Q13" s="147">
        <f t="shared" si="0"/>
        <v>1366.7670370299256</v>
      </c>
      <c r="R13" s="147">
        <f t="shared" si="0"/>
        <v>2050.92</v>
      </c>
      <c r="S13" s="148">
        <f t="shared" si="1"/>
        <v>0.39990994559223536</v>
      </c>
      <c r="U13" s="149">
        <f>(P13*1000)/'App 1 - Services'!F13/52</f>
        <v>7.4823259007415706</v>
      </c>
      <c r="V13" s="149">
        <f>(P13*1000)/'App 1 - Services'!G13/52</f>
        <v>13.069149077771716</v>
      </c>
      <c r="X13" s="150">
        <f t="shared" si="2"/>
        <v>0.39990994559223536</v>
      </c>
      <c r="Y13" s="151">
        <f t="shared" si="3"/>
        <v>1004.4170370299255</v>
      </c>
      <c r="Z13" s="152">
        <f t="shared" si="4"/>
        <v>0.29388794999286844</v>
      </c>
      <c r="AA13" s="151">
        <f t="shared" si="5"/>
        <v>392.1</v>
      </c>
      <c r="AB13" s="152">
        <f t="shared" si="6"/>
        <v>0.11472671305232994</v>
      </c>
      <c r="AC13" s="151">
        <f t="shared" si="7"/>
        <v>2021.17</v>
      </c>
      <c r="AD13" s="152">
        <f t="shared" si="8"/>
        <v>0.59138533695480155</v>
      </c>
      <c r="AF13" s="146">
        <f>'[1]App 4-Recyclables'!V13+'[1]App 4-Recyclables'!AB13</f>
        <v>1004.4170370299255</v>
      </c>
      <c r="AG13" s="146">
        <f>'[1]App 4-Recyclables'!W13+'[1]App 4-Recyclables'!AC13</f>
        <v>974.6670370299255</v>
      </c>
      <c r="AH13" s="146">
        <f>'[1]App 4-Recyclables'!X13+'[1]App 4-Recyclables'!AD13</f>
        <v>29.75</v>
      </c>
      <c r="AI13" s="146">
        <f>'[1]App 5-Organics'!V13+'[1]App 5-Organics'!AD13</f>
        <v>392.1</v>
      </c>
      <c r="AJ13" s="146">
        <f>'[1]App 5-Organics'!W13+'[1]App 5-Organics'!AE13</f>
        <v>392.1</v>
      </c>
      <c r="AK13" s="146">
        <f>'[1]App 5-Organics'!X13+'[1]App 5-Organics'!AF13</f>
        <v>0</v>
      </c>
      <c r="AL13" s="147">
        <f>'[1]App 6-Residual Waste'!AC13+'[1]App 6-Residual Waste'!AI13</f>
        <v>2021.17</v>
      </c>
      <c r="AM13" s="147">
        <f>'[1]App 6-Residual Waste'!AD13+'[1]App 6-Residual Waste'!AJ13</f>
        <v>0</v>
      </c>
      <c r="AN13" s="147">
        <f>'[1]App 6-Residual Waste'!AE13+'[1]App 6-Residual Waste'!AK13</f>
        <v>2021.17</v>
      </c>
      <c r="AO13" s="140"/>
      <c r="AP13" s="147">
        <f t="shared" si="9"/>
        <v>3417.6870370299257</v>
      </c>
      <c r="AQ13" s="147">
        <f t="shared" si="9"/>
        <v>1366.7670370299256</v>
      </c>
      <c r="AR13" s="147">
        <f t="shared" si="9"/>
        <v>2050.92</v>
      </c>
      <c r="AS13" s="148">
        <f t="shared" si="10"/>
        <v>0.39990994559223536</v>
      </c>
    </row>
    <row r="14" spans="1:45" ht="15.75" x14ac:dyDescent="0.25">
      <c r="A14" s="8">
        <v>10750</v>
      </c>
      <c r="B14" s="8" t="s">
        <v>52</v>
      </c>
      <c r="C14" s="8" t="s">
        <v>19</v>
      </c>
      <c r="D14" s="29" t="s">
        <v>3</v>
      </c>
      <c r="E14" s="145"/>
      <c r="F14" s="146">
        <f>'App 4 - Recyclables'!V14</f>
        <v>27532.331504266727</v>
      </c>
      <c r="G14" s="146">
        <f>'App 4 - Recyclables'!W14</f>
        <v>26033.101504266728</v>
      </c>
      <c r="H14" s="146">
        <f>'App 4 - Recyclables'!X14</f>
        <v>1499.23</v>
      </c>
      <c r="I14" s="146">
        <f>'App 5 - Organics'!V14</f>
        <v>0</v>
      </c>
      <c r="J14" s="146">
        <f>'App 5 - Organics'!W14</f>
        <v>0</v>
      </c>
      <c r="K14" s="146">
        <f>'App 5 - Organics'!X14</f>
        <v>0</v>
      </c>
      <c r="L14" s="147">
        <f>'App 6 - Residual Waste'!AC14</f>
        <v>131451.82</v>
      </c>
      <c r="M14" s="147">
        <f>'App 6 - Residual Waste'!AD14</f>
        <v>44860.060000000005</v>
      </c>
      <c r="N14" s="147">
        <f>'App 6 - Residual Waste'!AE14</f>
        <v>86591.76</v>
      </c>
      <c r="O14" s="140"/>
      <c r="P14" s="147">
        <f t="shared" si="0"/>
        <v>158984.15150426675</v>
      </c>
      <c r="Q14" s="147">
        <f t="shared" si="0"/>
        <v>70893.161504266725</v>
      </c>
      <c r="R14" s="147">
        <f t="shared" si="0"/>
        <v>88090.989999999991</v>
      </c>
      <c r="S14" s="148">
        <f t="shared" si="1"/>
        <v>0.44591338717409279</v>
      </c>
      <c r="U14" s="149">
        <f>(P14*1000)/'App 1 - Services'!F14/52</f>
        <v>7.986259025335479</v>
      </c>
      <c r="V14" s="149">
        <f>(P14*1000)/'App 1 - Services'!G14/52</f>
        <v>21.214915372641336</v>
      </c>
      <c r="X14" s="150">
        <f t="shared" si="2"/>
        <v>0.44591338717409279</v>
      </c>
      <c r="Y14" s="151">
        <f t="shared" si="3"/>
        <v>27532.331504266727</v>
      </c>
      <c r="Z14" s="152">
        <f t="shared" si="4"/>
        <v>0.17317657919838525</v>
      </c>
      <c r="AA14" s="151">
        <f t="shared" si="5"/>
        <v>0</v>
      </c>
      <c r="AB14" s="152">
        <f t="shared" si="6"/>
        <v>0</v>
      </c>
      <c r="AC14" s="151">
        <f t="shared" si="7"/>
        <v>131451.82</v>
      </c>
      <c r="AD14" s="152">
        <f t="shared" si="8"/>
        <v>0.82682342080161475</v>
      </c>
      <c r="AF14" s="146">
        <f>'[1]App 4-Recyclables'!V14+'[1]App 4-Recyclables'!AB14</f>
        <v>27532.331504266727</v>
      </c>
      <c r="AG14" s="146">
        <f>'[1]App 4-Recyclables'!W14+'[1]App 4-Recyclables'!AC14</f>
        <v>26033.101504266728</v>
      </c>
      <c r="AH14" s="146">
        <f>'[1]App 4-Recyclables'!X14+'[1]App 4-Recyclables'!AD14</f>
        <v>1499.23</v>
      </c>
      <c r="AI14" s="146">
        <f>'[1]App 5-Organics'!V14+'[1]App 5-Organics'!AD14</f>
        <v>0</v>
      </c>
      <c r="AJ14" s="146">
        <f>'[1]App 5-Organics'!W14+'[1]App 5-Organics'!AE14</f>
        <v>0</v>
      </c>
      <c r="AK14" s="146">
        <f>'[1]App 5-Organics'!X14+'[1]App 5-Organics'!AF14</f>
        <v>0</v>
      </c>
      <c r="AL14" s="147">
        <f>'[1]App 6-Residual Waste'!AC14+'[1]App 6-Residual Waste'!AI14</f>
        <v>131451.82</v>
      </c>
      <c r="AM14" s="147">
        <f>'[1]App 6-Residual Waste'!AD14+'[1]App 6-Residual Waste'!AJ14</f>
        <v>44860.060000000005</v>
      </c>
      <c r="AN14" s="147">
        <f>'[1]App 6-Residual Waste'!AE14+'[1]App 6-Residual Waste'!AK14</f>
        <v>86591.76</v>
      </c>
      <c r="AO14" s="140"/>
      <c r="AP14" s="147">
        <f t="shared" si="9"/>
        <v>158984.15150426675</v>
      </c>
      <c r="AQ14" s="147">
        <f t="shared" si="9"/>
        <v>70893.161504266725</v>
      </c>
      <c r="AR14" s="147">
        <f t="shared" si="9"/>
        <v>88090.989999999991</v>
      </c>
      <c r="AS14" s="148">
        <f t="shared" si="10"/>
        <v>0.44591338717409279</v>
      </c>
    </row>
    <row r="15" spans="1:45" ht="15.75" x14ac:dyDescent="0.25">
      <c r="A15" s="8">
        <v>10800</v>
      </c>
      <c r="B15" s="8" t="s">
        <v>85</v>
      </c>
      <c r="C15" s="8" t="s">
        <v>22</v>
      </c>
      <c r="D15" s="29" t="s">
        <v>1</v>
      </c>
      <c r="E15" s="145"/>
      <c r="F15" s="146">
        <f>'App 4 - Recyclables'!V15</f>
        <v>116.40999548813564</v>
      </c>
      <c r="G15" s="146">
        <f>'App 4 - Recyclables'!W15</f>
        <v>116.40999548813564</v>
      </c>
      <c r="H15" s="146">
        <f>'App 4 - Recyclables'!X15</f>
        <v>0</v>
      </c>
      <c r="I15" s="146">
        <f>'App 5 - Organics'!V15</f>
        <v>151.32</v>
      </c>
      <c r="J15" s="146">
        <f>'App 5 - Organics'!W15</f>
        <v>151.32</v>
      </c>
      <c r="K15" s="146">
        <f>'App 5 - Organics'!X15</f>
        <v>0</v>
      </c>
      <c r="L15" s="147">
        <f>'App 6 - Residual Waste'!AC15</f>
        <v>1645.8200000000002</v>
      </c>
      <c r="M15" s="147">
        <f>'App 6 - Residual Waste'!AD15</f>
        <v>0</v>
      </c>
      <c r="N15" s="147">
        <f>'App 6 - Residual Waste'!AE15</f>
        <v>1645.8200000000002</v>
      </c>
      <c r="O15" s="140"/>
      <c r="P15" s="147">
        <f t="shared" si="0"/>
        <v>1913.5499954881357</v>
      </c>
      <c r="Q15" s="147">
        <f t="shared" si="0"/>
        <v>267.72999548813561</v>
      </c>
      <c r="R15" s="147">
        <f t="shared" si="0"/>
        <v>1645.8200000000002</v>
      </c>
      <c r="S15" s="148">
        <f t="shared" si="1"/>
        <v>0.13991272562483492</v>
      </c>
      <c r="U15" s="149">
        <f>(P15*1000)/'App 1 - Services'!F15/52</f>
        <v>6.1982547372025998</v>
      </c>
      <c r="V15" s="149">
        <f>(P15*1000)/'App 1 - Services'!G15/52</f>
        <v>8.1503960962949815</v>
      </c>
      <c r="X15" s="150">
        <f t="shared" si="2"/>
        <v>0.13991272562483492</v>
      </c>
      <c r="Y15" s="151">
        <f t="shared" si="3"/>
        <v>116.40999548813564</v>
      </c>
      <c r="Z15" s="152">
        <f t="shared" si="4"/>
        <v>6.0834572267572301E-2</v>
      </c>
      <c r="AA15" s="151">
        <f t="shared" si="5"/>
        <v>151.32</v>
      </c>
      <c r="AB15" s="152">
        <f t="shared" si="6"/>
        <v>7.9078153357262621E-2</v>
      </c>
      <c r="AC15" s="151">
        <f t="shared" si="7"/>
        <v>1645.8200000000002</v>
      </c>
      <c r="AD15" s="152">
        <f t="shared" si="8"/>
        <v>0.86008727437516519</v>
      </c>
      <c r="AF15" s="146">
        <f>'[1]App 4-Recyclables'!V15+'[1]App 4-Recyclables'!AB15</f>
        <v>116.40999548813564</v>
      </c>
      <c r="AG15" s="146">
        <f>'[1]App 4-Recyclables'!W15+'[1]App 4-Recyclables'!AC15</f>
        <v>116.40999548813564</v>
      </c>
      <c r="AH15" s="146">
        <f>'[1]App 4-Recyclables'!X15+'[1]App 4-Recyclables'!AD15</f>
        <v>0</v>
      </c>
      <c r="AI15" s="146">
        <f>'[1]App 5-Organics'!V15+'[1]App 5-Organics'!AD15</f>
        <v>151.32</v>
      </c>
      <c r="AJ15" s="146">
        <f>'[1]App 5-Organics'!W15+'[1]App 5-Organics'!AE15</f>
        <v>151.32</v>
      </c>
      <c r="AK15" s="146">
        <f>'[1]App 5-Organics'!X15+'[1]App 5-Organics'!AF15</f>
        <v>0</v>
      </c>
      <c r="AL15" s="147">
        <f>'[1]App 6-Residual Waste'!AC15+'[1]App 6-Residual Waste'!AI15</f>
        <v>1645.8200000000002</v>
      </c>
      <c r="AM15" s="147">
        <f>'[1]App 6-Residual Waste'!AD15+'[1]App 6-Residual Waste'!AJ15</f>
        <v>0</v>
      </c>
      <c r="AN15" s="147">
        <f>'[1]App 6-Residual Waste'!AE15+'[1]App 6-Residual Waste'!AK15</f>
        <v>1645.8200000000002</v>
      </c>
      <c r="AO15" s="140"/>
      <c r="AP15" s="147">
        <f t="shared" si="9"/>
        <v>1913.5499954881357</v>
      </c>
      <c r="AQ15" s="147">
        <f t="shared" si="9"/>
        <v>267.72999548813561</v>
      </c>
      <c r="AR15" s="147">
        <f t="shared" si="9"/>
        <v>1645.8200000000002</v>
      </c>
      <c r="AS15" s="148">
        <f t="shared" si="10"/>
        <v>0.13991272562483492</v>
      </c>
    </row>
    <row r="16" spans="1:45" ht="15.75" x14ac:dyDescent="0.25">
      <c r="A16" s="8">
        <v>10850</v>
      </c>
      <c r="B16" s="8" t="s">
        <v>86</v>
      </c>
      <c r="C16" s="8" t="s">
        <v>42</v>
      </c>
      <c r="D16" s="29" t="s">
        <v>1</v>
      </c>
      <c r="E16" s="145"/>
      <c r="F16" s="146">
        <f>'App 4 - Recyclables'!V16</f>
        <v>1205.2826409267129</v>
      </c>
      <c r="G16" s="146">
        <f>'App 4 - Recyclables'!W16</f>
        <v>1184.452640926713</v>
      </c>
      <c r="H16" s="146">
        <f>'App 4 - Recyclables'!X16</f>
        <v>20.83</v>
      </c>
      <c r="I16" s="146">
        <f>'App 5 - Organics'!V16</f>
        <v>299</v>
      </c>
      <c r="J16" s="146">
        <f>'App 5 - Organics'!W16</f>
        <v>299</v>
      </c>
      <c r="K16" s="146">
        <f>'App 5 - Organics'!X16</f>
        <v>0</v>
      </c>
      <c r="L16" s="147">
        <f>'App 6 - Residual Waste'!AC16</f>
        <v>3376.48</v>
      </c>
      <c r="M16" s="147">
        <f>'App 6 - Residual Waste'!AD16</f>
        <v>47.5</v>
      </c>
      <c r="N16" s="147">
        <f>'App 6 - Residual Waste'!AE16</f>
        <v>3328.98</v>
      </c>
      <c r="O16" s="140"/>
      <c r="P16" s="147">
        <f t="shared" si="0"/>
        <v>4880.7626409267132</v>
      </c>
      <c r="Q16" s="147">
        <f t="shared" si="0"/>
        <v>1530.952640926713</v>
      </c>
      <c r="R16" s="147">
        <f t="shared" si="0"/>
        <v>3349.81</v>
      </c>
      <c r="S16" s="148">
        <f t="shared" si="1"/>
        <v>0.31367078335037207</v>
      </c>
      <c r="U16" s="149">
        <f>(P16*1000)/'App 1 - Services'!F16/52</f>
        <v>12.714822543730888</v>
      </c>
      <c r="V16" s="149">
        <f>(P16*1000)/'App 1 - Services'!G16/52</f>
        <v>22.578980037965216</v>
      </c>
      <c r="X16" s="150">
        <f t="shared" si="2"/>
        <v>0.31367078335037207</v>
      </c>
      <c r="Y16" s="151">
        <f t="shared" si="3"/>
        <v>1205.2826409267129</v>
      </c>
      <c r="Z16" s="152">
        <f t="shared" si="4"/>
        <v>0.24694555535646071</v>
      </c>
      <c r="AA16" s="151">
        <f t="shared" si="5"/>
        <v>299</v>
      </c>
      <c r="AB16" s="152">
        <f t="shared" si="6"/>
        <v>6.1260918015719916E-2</v>
      </c>
      <c r="AC16" s="151">
        <f t="shared" si="7"/>
        <v>3376.48</v>
      </c>
      <c r="AD16" s="152">
        <f t="shared" si="8"/>
        <v>0.69179352662781934</v>
      </c>
      <c r="AF16" s="146">
        <f>'[1]App 4-Recyclables'!V16+'[1]App 4-Recyclables'!AB16</f>
        <v>1205.2826409267129</v>
      </c>
      <c r="AG16" s="146">
        <f>'[1]App 4-Recyclables'!W16+'[1]App 4-Recyclables'!AC16</f>
        <v>1184.452640926713</v>
      </c>
      <c r="AH16" s="146">
        <f>'[1]App 4-Recyclables'!X16+'[1]App 4-Recyclables'!AD16</f>
        <v>20.83</v>
      </c>
      <c r="AI16" s="146">
        <f>'[1]App 5-Organics'!V16+'[1]App 5-Organics'!AD16</f>
        <v>299</v>
      </c>
      <c r="AJ16" s="146">
        <f>'[1]App 5-Organics'!W16+'[1]App 5-Organics'!AE16</f>
        <v>299</v>
      </c>
      <c r="AK16" s="146">
        <f>'[1]App 5-Organics'!X16+'[1]App 5-Organics'!AF16</f>
        <v>0</v>
      </c>
      <c r="AL16" s="147">
        <f>'[1]App 6-Residual Waste'!AC16+'[1]App 6-Residual Waste'!AI16</f>
        <v>3376.48</v>
      </c>
      <c r="AM16" s="147">
        <f>'[1]App 6-Residual Waste'!AD16+'[1]App 6-Residual Waste'!AJ16</f>
        <v>47.5</v>
      </c>
      <c r="AN16" s="147">
        <f>'[1]App 6-Residual Waste'!AE16+'[1]App 6-Residual Waste'!AK16</f>
        <v>3328.98</v>
      </c>
      <c r="AO16" s="140"/>
      <c r="AP16" s="147">
        <f t="shared" si="9"/>
        <v>4880.7626409267132</v>
      </c>
      <c r="AQ16" s="147">
        <f t="shared" si="9"/>
        <v>1530.952640926713</v>
      </c>
      <c r="AR16" s="147">
        <f t="shared" si="9"/>
        <v>3349.81</v>
      </c>
      <c r="AS16" s="148">
        <f t="shared" si="10"/>
        <v>0.31367078335037207</v>
      </c>
    </row>
    <row r="17" spans="1:45" ht="15.75" x14ac:dyDescent="0.25">
      <c r="A17" s="8">
        <v>10900</v>
      </c>
      <c r="B17" s="8" t="s">
        <v>87</v>
      </c>
      <c r="C17" s="8" t="s">
        <v>19</v>
      </c>
      <c r="D17" s="29" t="s">
        <v>4</v>
      </c>
      <c r="E17" s="145"/>
      <c r="F17" s="146">
        <f>'App 4 - Recyclables'!V17</f>
        <v>9663.2663422796941</v>
      </c>
      <c r="G17" s="146">
        <f>'App 4 - Recyclables'!W17</f>
        <v>8842.2663422796941</v>
      </c>
      <c r="H17" s="146">
        <f>'App 4 - Recyclables'!X17</f>
        <v>821</v>
      </c>
      <c r="I17" s="146">
        <f>'App 5 - Organics'!V17</f>
        <v>14771.05</v>
      </c>
      <c r="J17" s="146">
        <f>'App 5 - Organics'!W17</f>
        <v>14542.05</v>
      </c>
      <c r="K17" s="146">
        <f>'App 5 - Organics'!X17</f>
        <v>229</v>
      </c>
      <c r="L17" s="147">
        <f>'App 6 - Residual Waste'!AC17</f>
        <v>23600.489999999998</v>
      </c>
      <c r="M17" s="147">
        <f>'App 6 - Residual Waste'!AD17</f>
        <v>2138.42</v>
      </c>
      <c r="N17" s="147">
        <f>'App 6 - Residual Waste'!AE17</f>
        <v>21462.07</v>
      </c>
      <c r="O17" s="140"/>
      <c r="P17" s="147">
        <f t="shared" si="0"/>
        <v>48034.806342279691</v>
      </c>
      <c r="Q17" s="147">
        <f t="shared" si="0"/>
        <v>25522.736342279692</v>
      </c>
      <c r="R17" s="147">
        <f t="shared" si="0"/>
        <v>22512.07</v>
      </c>
      <c r="S17" s="148">
        <f t="shared" si="1"/>
        <v>0.53133838326344762</v>
      </c>
      <c r="U17" s="149">
        <f>(P17*1000)/'App 1 - Services'!F17/52</f>
        <v>11.664199454676066</v>
      </c>
      <c r="V17" s="149">
        <f>(P17*1000)/'App 1 - Services'!G17/52</f>
        <v>23.889166127368135</v>
      </c>
      <c r="X17" s="150">
        <f t="shared" si="2"/>
        <v>0.53133838326344762</v>
      </c>
      <c r="Y17" s="151">
        <f t="shared" si="3"/>
        <v>9663.2663422796941</v>
      </c>
      <c r="Z17" s="152">
        <f t="shared" si="4"/>
        <v>0.20117217239146432</v>
      </c>
      <c r="AA17" s="151">
        <f t="shared" si="5"/>
        <v>14771.05</v>
      </c>
      <c r="AB17" s="152">
        <f t="shared" si="6"/>
        <v>0.30750722496405047</v>
      </c>
      <c r="AC17" s="151">
        <f t="shared" si="7"/>
        <v>23600.489999999998</v>
      </c>
      <c r="AD17" s="152">
        <f t="shared" si="8"/>
        <v>0.49132060264448518</v>
      </c>
      <c r="AF17" s="146">
        <f>'[1]App 4-Recyclables'!V17+'[1]App 4-Recyclables'!AB17</f>
        <v>9663.2663422796941</v>
      </c>
      <c r="AG17" s="146">
        <f>'[1]App 4-Recyclables'!W17+'[1]App 4-Recyclables'!AC17</f>
        <v>8842.2663422796941</v>
      </c>
      <c r="AH17" s="146">
        <f>'[1]App 4-Recyclables'!X17+'[1]App 4-Recyclables'!AD17</f>
        <v>821</v>
      </c>
      <c r="AI17" s="146">
        <f>'[1]App 5-Organics'!V17+'[1]App 5-Organics'!AD17</f>
        <v>14771.05</v>
      </c>
      <c r="AJ17" s="146">
        <f>'[1]App 5-Organics'!W17+'[1]App 5-Organics'!AE17</f>
        <v>14542.05</v>
      </c>
      <c r="AK17" s="146">
        <f>'[1]App 5-Organics'!X17+'[1]App 5-Organics'!AF17</f>
        <v>229</v>
      </c>
      <c r="AL17" s="147">
        <f>'[1]App 6-Residual Waste'!AC17+'[1]App 6-Residual Waste'!AI17</f>
        <v>23600.489999999998</v>
      </c>
      <c r="AM17" s="147">
        <f>'[1]App 6-Residual Waste'!AD17+'[1]App 6-Residual Waste'!AJ17</f>
        <v>2138.42</v>
      </c>
      <c r="AN17" s="147">
        <f>'[1]App 6-Residual Waste'!AE17+'[1]App 6-Residual Waste'!AK17</f>
        <v>21462.07</v>
      </c>
      <c r="AO17" s="140"/>
      <c r="AP17" s="147">
        <f t="shared" si="9"/>
        <v>48034.806342279691</v>
      </c>
      <c r="AQ17" s="147">
        <f t="shared" si="9"/>
        <v>25522.736342279692</v>
      </c>
      <c r="AR17" s="147">
        <f t="shared" si="9"/>
        <v>22512.07</v>
      </c>
      <c r="AS17" s="148">
        <f t="shared" si="10"/>
        <v>0.53133838326344762</v>
      </c>
    </row>
    <row r="18" spans="1:45" ht="15.75" x14ac:dyDescent="0.25">
      <c r="A18" s="8">
        <v>10950</v>
      </c>
      <c r="B18" s="8" t="s">
        <v>88</v>
      </c>
      <c r="C18" s="8" t="s">
        <v>42</v>
      </c>
      <c r="D18" s="29" t="s">
        <v>1</v>
      </c>
      <c r="E18" s="145"/>
      <c r="F18" s="146">
        <f>'App 4 - Recyclables'!V18</f>
        <v>339.19365517216505</v>
      </c>
      <c r="G18" s="146">
        <f>'App 4 - Recyclables'!W18</f>
        <v>312.61365517216507</v>
      </c>
      <c r="H18" s="146">
        <f>'App 4 - Recyclables'!X18</f>
        <v>26.58</v>
      </c>
      <c r="I18" s="146">
        <f>'App 5 - Organics'!V18</f>
        <v>680.78</v>
      </c>
      <c r="J18" s="146">
        <f>'App 5 - Organics'!W18</f>
        <v>680.78</v>
      </c>
      <c r="K18" s="146">
        <f>'App 5 - Organics'!X18</f>
        <v>0</v>
      </c>
      <c r="L18" s="147">
        <f>'App 6 - Residual Waste'!AC18</f>
        <v>1795.21</v>
      </c>
      <c r="M18" s="147">
        <f>'App 6 - Residual Waste'!AD18</f>
        <v>20.9</v>
      </c>
      <c r="N18" s="147">
        <f>'App 6 - Residual Waste'!AE18</f>
        <v>1774.31</v>
      </c>
      <c r="O18" s="140"/>
      <c r="P18" s="147">
        <f t="shared" si="0"/>
        <v>2815.1836551721653</v>
      </c>
      <c r="Q18" s="147">
        <f t="shared" si="0"/>
        <v>1014.293655172165</v>
      </c>
      <c r="R18" s="147">
        <f t="shared" si="0"/>
        <v>1800.8899999999999</v>
      </c>
      <c r="S18" s="148">
        <f t="shared" si="1"/>
        <v>0.36029395571001738</v>
      </c>
      <c r="U18" s="149">
        <f>(P18*1000)/'App 1 - Services'!F18/52</f>
        <v>21.406938400494006</v>
      </c>
      <c r="V18" s="149">
        <f>(P18*1000)/'App 1 - Services'!G18/52</f>
        <v>25.585135734805927</v>
      </c>
      <c r="X18" s="150">
        <f t="shared" si="2"/>
        <v>0.36029395571001738</v>
      </c>
      <c r="Y18" s="151">
        <f t="shared" si="3"/>
        <v>339.19365517216505</v>
      </c>
      <c r="Z18" s="152">
        <f t="shared" si="4"/>
        <v>0.12048722098431668</v>
      </c>
      <c r="AA18" s="151">
        <f t="shared" si="5"/>
        <v>680.78</v>
      </c>
      <c r="AB18" s="152">
        <f t="shared" si="6"/>
        <v>0.24182436508156205</v>
      </c>
      <c r="AC18" s="151">
        <f t="shared" si="7"/>
        <v>1795.21</v>
      </c>
      <c r="AD18" s="152">
        <f t="shared" si="8"/>
        <v>0.63768841393412123</v>
      </c>
      <c r="AF18" s="146">
        <f>'[1]App 4-Recyclables'!V18+'[1]App 4-Recyclables'!AB18</f>
        <v>339.19365517216505</v>
      </c>
      <c r="AG18" s="146">
        <f>'[1]App 4-Recyclables'!W18+'[1]App 4-Recyclables'!AC18</f>
        <v>312.61365517216507</v>
      </c>
      <c r="AH18" s="146">
        <f>'[1]App 4-Recyclables'!X18+'[1]App 4-Recyclables'!AD18</f>
        <v>26.58</v>
      </c>
      <c r="AI18" s="146">
        <f>'[1]App 5-Organics'!V18+'[1]App 5-Organics'!AD18</f>
        <v>680.78</v>
      </c>
      <c r="AJ18" s="146">
        <f>'[1]App 5-Organics'!W18+'[1]App 5-Organics'!AE18</f>
        <v>680.78</v>
      </c>
      <c r="AK18" s="146">
        <f>'[1]App 5-Organics'!X18+'[1]App 5-Organics'!AF18</f>
        <v>0</v>
      </c>
      <c r="AL18" s="147">
        <f>'[1]App 6-Residual Waste'!AC18+'[1]App 6-Residual Waste'!AI18</f>
        <v>1795.21</v>
      </c>
      <c r="AM18" s="147">
        <f>'[1]App 6-Residual Waste'!AD18+'[1]App 6-Residual Waste'!AJ18</f>
        <v>20.9</v>
      </c>
      <c r="AN18" s="147">
        <f>'[1]App 6-Residual Waste'!AE18+'[1]App 6-Residual Waste'!AK18</f>
        <v>1774.31</v>
      </c>
      <c r="AO18" s="140"/>
      <c r="AP18" s="147">
        <f t="shared" si="9"/>
        <v>2815.1836551721653</v>
      </c>
      <c r="AQ18" s="147">
        <f t="shared" si="9"/>
        <v>1014.293655172165</v>
      </c>
      <c r="AR18" s="147">
        <f t="shared" si="9"/>
        <v>1800.8899999999999</v>
      </c>
      <c r="AS18" s="148">
        <f t="shared" si="10"/>
        <v>0.36029395571001738</v>
      </c>
    </row>
    <row r="19" spans="1:45" ht="15.75" x14ac:dyDescent="0.25">
      <c r="A19" s="8">
        <v>11150</v>
      </c>
      <c r="B19" s="8" t="s">
        <v>89</v>
      </c>
      <c r="C19" s="8" t="s">
        <v>42</v>
      </c>
      <c r="D19" s="29" t="s">
        <v>1</v>
      </c>
      <c r="E19" s="145"/>
      <c r="F19" s="146">
        <f>'App 4 - Recyclables'!V19</f>
        <v>277.37805768707824</v>
      </c>
      <c r="G19" s="146">
        <f>'App 4 - Recyclables'!W19</f>
        <v>277.37805768707824</v>
      </c>
      <c r="H19" s="146">
        <f>'App 4 - Recyclables'!X19</f>
        <v>0</v>
      </c>
      <c r="I19" s="146">
        <f>'App 5 - Organics'!V19</f>
        <v>257</v>
      </c>
      <c r="J19" s="146">
        <f>'App 5 - Organics'!W19</f>
        <v>257</v>
      </c>
      <c r="K19" s="146">
        <f>'App 5 - Organics'!X19</f>
        <v>0</v>
      </c>
      <c r="L19" s="147">
        <f>'App 6 - Residual Waste'!AC19</f>
        <v>1927</v>
      </c>
      <c r="M19" s="147">
        <f>'App 6 - Residual Waste'!AD19</f>
        <v>0</v>
      </c>
      <c r="N19" s="147">
        <f>'App 6 - Residual Waste'!AE19</f>
        <v>1927</v>
      </c>
      <c r="O19" s="140"/>
      <c r="P19" s="147">
        <f t="shared" si="0"/>
        <v>2461.3780576870781</v>
      </c>
      <c r="Q19" s="147">
        <f t="shared" si="0"/>
        <v>534.37805768707824</v>
      </c>
      <c r="R19" s="147">
        <f t="shared" si="0"/>
        <v>1927</v>
      </c>
      <c r="S19" s="148">
        <f t="shared" si="1"/>
        <v>0.21710523339483478</v>
      </c>
      <c r="U19" s="149">
        <f>(P19*1000)/'App 1 - Services'!F19/52</f>
        <v>18.032073682689216</v>
      </c>
      <c r="V19" s="149">
        <f>(P19*1000)/'App 1 - Services'!G19/52</f>
        <v>45.557452759440999</v>
      </c>
      <c r="X19" s="150">
        <f t="shared" si="2"/>
        <v>0.21710523339483478</v>
      </c>
      <c r="Y19" s="151">
        <f t="shared" si="3"/>
        <v>277.37805768707824</v>
      </c>
      <c r="Z19" s="152">
        <f t="shared" si="4"/>
        <v>0.11269217941583766</v>
      </c>
      <c r="AA19" s="151">
        <f t="shared" si="5"/>
        <v>257</v>
      </c>
      <c r="AB19" s="152">
        <f t="shared" si="6"/>
        <v>0.10441305397899713</v>
      </c>
      <c r="AC19" s="151">
        <f t="shared" si="7"/>
        <v>1927</v>
      </c>
      <c r="AD19" s="152">
        <f t="shared" si="8"/>
        <v>0.78289476660516522</v>
      </c>
      <c r="AF19" s="146">
        <f>'[1]App 4-Recyclables'!V19+'[1]App 4-Recyclables'!AB19</f>
        <v>277.37805768707824</v>
      </c>
      <c r="AG19" s="146">
        <f>'[1]App 4-Recyclables'!W19+'[1]App 4-Recyclables'!AC19</f>
        <v>277.37805768707824</v>
      </c>
      <c r="AH19" s="146">
        <f>'[1]App 4-Recyclables'!X19+'[1]App 4-Recyclables'!AD19</f>
        <v>0</v>
      </c>
      <c r="AI19" s="146">
        <f>'[1]App 5-Organics'!V19+'[1]App 5-Organics'!AD19</f>
        <v>257</v>
      </c>
      <c r="AJ19" s="146">
        <f>'[1]App 5-Organics'!W19+'[1]App 5-Organics'!AE19</f>
        <v>257</v>
      </c>
      <c r="AK19" s="146">
        <f>'[1]App 5-Organics'!X19+'[1]App 5-Organics'!AF19</f>
        <v>0</v>
      </c>
      <c r="AL19" s="147">
        <f>'[1]App 6-Residual Waste'!AC19+'[1]App 6-Residual Waste'!AI19</f>
        <v>1927</v>
      </c>
      <c r="AM19" s="147">
        <f>'[1]App 6-Residual Waste'!AD19+'[1]App 6-Residual Waste'!AJ19</f>
        <v>0</v>
      </c>
      <c r="AN19" s="147">
        <f>'[1]App 6-Residual Waste'!AE19+'[1]App 6-Residual Waste'!AK19</f>
        <v>1927</v>
      </c>
      <c r="AO19" s="140"/>
      <c r="AP19" s="147">
        <f t="shared" si="9"/>
        <v>2461.3780576870781</v>
      </c>
      <c r="AQ19" s="147">
        <f t="shared" si="9"/>
        <v>534.37805768707824</v>
      </c>
      <c r="AR19" s="147">
        <f t="shared" si="9"/>
        <v>1927</v>
      </c>
      <c r="AS19" s="148">
        <f t="shared" si="10"/>
        <v>0.21710523339483478</v>
      </c>
    </row>
    <row r="20" spans="1:45" ht="15.75" x14ac:dyDescent="0.25">
      <c r="A20" s="8">
        <v>11200</v>
      </c>
      <c r="B20" s="8" t="s">
        <v>90</v>
      </c>
      <c r="C20" s="8" t="s">
        <v>42</v>
      </c>
      <c r="D20" s="29" t="s">
        <v>1</v>
      </c>
      <c r="E20" s="145"/>
      <c r="F20" s="146">
        <f>'App 4 - Recyclables'!V20</f>
        <v>48.606473333626504</v>
      </c>
      <c r="G20" s="146">
        <f>'App 4 - Recyclables'!W20</f>
        <v>47.106473333626504</v>
      </c>
      <c r="H20" s="146">
        <f>'App 4 - Recyclables'!X20</f>
        <v>1.5</v>
      </c>
      <c r="I20" s="146">
        <f>'App 5 - Organics'!V20</f>
        <v>0</v>
      </c>
      <c r="J20" s="146">
        <f>'App 5 - Organics'!W20</f>
        <v>0</v>
      </c>
      <c r="K20" s="146">
        <f>'App 5 - Organics'!X20</f>
        <v>0</v>
      </c>
      <c r="L20" s="147">
        <f>'App 6 - Residual Waste'!AC20</f>
        <v>965</v>
      </c>
      <c r="M20" s="147">
        <f>'App 6 - Residual Waste'!AD20</f>
        <v>0</v>
      </c>
      <c r="N20" s="147">
        <f>'App 6 - Residual Waste'!AE20</f>
        <v>965</v>
      </c>
      <c r="O20" s="140"/>
      <c r="P20" s="147">
        <f t="shared" si="0"/>
        <v>1013.6064733336265</v>
      </c>
      <c r="Q20" s="147">
        <f t="shared" si="0"/>
        <v>47.106473333626504</v>
      </c>
      <c r="R20" s="147">
        <f t="shared" si="0"/>
        <v>966.5</v>
      </c>
      <c r="S20" s="148">
        <f t="shared" si="1"/>
        <v>4.6474124399284007E-2</v>
      </c>
      <c r="U20" s="149">
        <f>(P20*1000)/'App 1 - Services'!F20/52</f>
        <v>12.551469529615465</v>
      </c>
      <c r="V20" s="149">
        <f>(P20*1000)/'App 1 - Services'!G20/52</f>
        <v>26.886113351024576</v>
      </c>
      <c r="X20" s="150">
        <f t="shared" si="2"/>
        <v>4.6474124399284007E-2</v>
      </c>
      <c r="Y20" s="151">
        <f t="shared" si="3"/>
        <v>48.606473333626504</v>
      </c>
      <c r="Z20" s="152">
        <f t="shared" si="4"/>
        <v>4.7953988665606899E-2</v>
      </c>
      <c r="AA20" s="151">
        <f t="shared" si="5"/>
        <v>0</v>
      </c>
      <c r="AB20" s="152">
        <f t="shared" si="6"/>
        <v>0</v>
      </c>
      <c r="AC20" s="151">
        <f t="shared" si="7"/>
        <v>965</v>
      </c>
      <c r="AD20" s="152">
        <f t="shared" si="8"/>
        <v>0.95204601133439315</v>
      </c>
      <c r="AF20" s="146">
        <f>'[1]App 4-Recyclables'!V20+'[1]App 4-Recyclables'!AB20</f>
        <v>48.606473333626504</v>
      </c>
      <c r="AG20" s="146">
        <f>'[1]App 4-Recyclables'!W20+'[1]App 4-Recyclables'!AC20</f>
        <v>47.106473333626504</v>
      </c>
      <c r="AH20" s="146">
        <f>'[1]App 4-Recyclables'!X20+'[1]App 4-Recyclables'!AD20</f>
        <v>1.5</v>
      </c>
      <c r="AI20" s="146">
        <f>'[1]App 5-Organics'!V20+'[1]App 5-Organics'!AD20</f>
        <v>0</v>
      </c>
      <c r="AJ20" s="146">
        <f>'[1]App 5-Organics'!W20+'[1]App 5-Organics'!AE20</f>
        <v>0</v>
      </c>
      <c r="AK20" s="146">
        <f>'[1]App 5-Organics'!X20+'[1]App 5-Organics'!AF20</f>
        <v>0</v>
      </c>
      <c r="AL20" s="147">
        <f>'[1]App 6-Residual Waste'!AC20+'[1]App 6-Residual Waste'!AI20</f>
        <v>965</v>
      </c>
      <c r="AM20" s="147">
        <f>'[1]App 6-Residual Waste'!AD20+'[1]App 6-Residual Waste'!AJ20</f>
        <v>0</v>
      </c>
      <c r="AN20" s="147">
        <f>'[1]App 6-Residual Waste'!AE20+'[1]App 6-Residual Waste'!AK20</f>
        <v>965</v>
      </c>
      <c r="AO20" s="140"/>
      <c r="AP20" s="147">
        <f t="shared" si="9"/>
        <v>1013.6064733336265</v>
      </c>
      <c r="AQ20" s="147">
        <f t="shared" si="9"/>
        <v>47.106473333626504</v>
      </c>
      <c r="AR20" s="147">
        <f t="shared" si="9"/>
        <v>966.5</v>
      </c>
      <c r="AS20" s="148">
        <f t="shared" si="10"/>
        <v>4.6474124399284007E-2</v>
      </c>
    </row>
    <row r="21" spans="1:45" ht="15.75" x14ac:dyDescent="0.25">
      <c r="A21" s="8">
        <v>11250</v>
      </c>
      <c r="B21" s="8" t="s">
        <v>91</v>
      </c>
      <c r="C21" s="8" t="s">
        <v>42</v>
      </c>
      <c r="D21" s="29" t="s">
        <v>1</v>
      </c>
      <c r="E21" s="145"/>
      <c r="F21" s="146">
        <f>'App 4 - Recyclables'!V21</f>
        <v>2751.2167605624427</v>
      </c>
      <c r="G21" s="146">
        <f>'App 4 - Recyclables'!W21</f>
        <v>2181.9567605624425</v>
      </c>
      <c r="H21" s="146">
        <f>'App 4 - Recyclables'!X21</f>
        <v>569.26</v>
      </c>
      <c r="I21" s="146">
        <f>'App 5 - Organics'!V21</f>
        <v>2944.23</v>
      </c>
      <c r="J21" s="146">
        <f>'App 5 - Organics'!W21</f>
        <v>0.72000000000002728</v>
      </c>
      <c r="K21" s="146">
        <f>'App 5 - Organics'!X21</f>
        <v>2943.51</v>
      </c>
      <c r="L21" s="147">
        <f>'App 6 - Residual Waste'!AC21</f>
        <v>17564.830000000002</v>
      </c>
      <c r="M21" s="147">
        <f>'App 6 - Residual Waste'!AD21</f>
        <v>0</v>
      </c>
      <c r="N21" s="147">
        <f>'App 6 - Residual Waste'!AE21</f>
        <v>17564.830000000002</v>
      </c>
      <c r="O21" s="140"/>
      <c r="P21" s="147">
        <f t="shared" si="0"/>
        <v>23260.276760562447</v>
      </c>
      <c r="Q21" s="147">
        <f t="shared" si="0"/>
        <v>2182.6767605624427</v>
      </c>
      <c r="R21" s="147">
        <f t="shared" si="0"/>
        <v>21077.600000000002</v>
      </c>
      <c r="S21" s="148">
        <f t="shared" si="1"/>
        <v>9.38370932999021E-2</v>
      </c>
      <c r="U21" s="149">
        <f>(P21*1000)/'App 1 - Services'!F21/52</f>
        <v>25.902658788939771</v>
      </c>
      <c r="V21" s="149">
        <f>(P21*1000)/'App 1 - Services'!G21/52</f>
        <v>42.30310333139785</v>
      </c>
      <c r="X21" s="150">
        <f t="shared" si="2"/>
        <v>9.38370932999021E-2</v>
      </c>
      <c r="Y21" s="151">
        <f t="shared" si="3"/>
        <v>2751.2167605624427</v>
      </c>
      <c r="Z21" s="152">
        <f t="shared" si="4"/>
        <v>0.11827962276128638</v>
      </c>
      <c r="AA21" s="151">
        <f t="shared" si="5"/>
        <v>2944.23</v>
      </c>
      <c r="AB21" s="152">
        <f t="shared" si="6"/>
        <v>0.12657759966948937</v>
      </c>
      <c r="AC21" s="151">
        <f t="shared" si="7"/>
        <v>17564.830000000002</v>
      </c>
      <c r="AD21" s="152">
        <f t="shared" si="8"/>
        <v>0.75514277756922421</v>
      </c>
      <c r="AF21" s="146">
        <f>'[1]App 4-Recyclables'!V21+'[1]App 4-Recyclables'!AB21</f>
        <v>2751.2167605624427</v>
      </c>
      <c r="AG21" s="146">
        <f>'[1]App 4-Recyclables'!W21+'[1]App 4-Recyclables'!AC21</f>
        <v>2181.9567605624425</v>
      </c>
      <c r="AH21" s="146">
        <f>'[1]App 4-Recyclables'!X21+'[1]App 4-Recyclables'!AD21</f>
        <v>569.26</v>
      </c>
      <c r="AI21" s="146">
        <f>'[1]App 5-Organics'!V21+'[1]App 5-Organics'!AD21</f>
        <v>2944.23</v>
      </c>
      <c r="AJ21" s="146">
        <f>'[1]App 5-Organics'!W21+'[1]App 5-Organics'!AE21</f>
        <v>0.72000000000002728</v>
      </c>
      <c r="AK21" s="146">
        <f>'[1]App 5-Organics'!X21+'[1]App 5-Organics'!AF21</f>
        <v>2943.51</v>
      </c>
      <c r="AL21" s="147">
        <f>'[1]App 6-Residual Waste'!AC21+'[1]App 6-Residual Waste'!AI21</f>
        <v>17564.830000000002</v>
      </c>
      <c r="AM21" s="147">
        <f>'[1]App 6-Residual Waste'!AD21+'[1]App 6-Residual Waste'!AJ21</f>
        <v>0</v>
      </c>
      <c r="AN21" s="147">
        <f>'[1]App 6-Residual Waste'!AE21+'[1]App 6-Residual Waste'!AK21</f>
        <v>17564.830000000002</v>
      </c>
      <c r="AO21" s="140"/>
      <c r="AP21" s="147">
        <f t="shared" si="9"/>
        <v>23260.276760562447</v>
      </c>
      <c r="AQ21" s="147">
        <f t="shared" si="9"/>
        <v>2182.6767605624427</v>
      </c>
      <c r="AR21" s="147">
        <f t="shared" si="9"/>
        <v>21077.600000000002</v>
      </c>
      <c r="AS21" s="148">
        <f t="shared" si="10"/>
        <v>9.38370932999021E-2</v>
      </c>
    </row>
    <row r="22" spans="1:45" ht="15.75" x14ac:dyDescent="0.25">
      <c r="A22" s="8">
        <v>11300</v>
      </c>
      <c r="B22" s="8" t="s">
        <v>92</v>
      </c>
      <c r="C22" s="8" t="s">
        <v>18</v>
      </c>
      <c r="D22" s="29" t="s">
        <v>3</v>
      </c>
      <c r="E22" s="145"/>
      <c r="F22" s="146">
        <f>'App 4 - Recyclables'!V22</f>
        <v>2529.2345457164747</v>
      </c>
      <c r="G22" s="146">
        <f>'App 4 - Recyclables'!W22</f>
        <v>2297.3345457164742</v>
      </c>
      <c r="H22" s="146">
        <f>'App 4 - Recyclables'!X22</f>
        <v>231.9</v>
      </c>
      <c r="I22" s="146">
        <f>'App 5 - Organics'!V22</f>
        <v>2494.91</v>
      </c>
      <c r="J22" s="146">
        <f>'App 5 - Organics'!W22</f>
        <v>2494.91</v>
      </c>
      <c r="K22" s="146">
        <f>'App 5 - Organics'!X22</f>
        <v>0</v>
      </c>
      <c r="L22" s="147">
        <f>'App 6 - Residual Waste'!AC22</f>
        <v>9005.52</v>
      </c>
      <c r="M22" s="147">
        <f>'App 6 - Residual Waste'!AD22</f>
        <v>3612.1</v>
      </c>
      <c r="N22" s="147">
        <f>'App 6 - Residual Waste'!AE22</f>
        <v>5393.42</v>
      </c>
      <c r="O22" s="140"/>
      <c r="P22" s="147">
        <f t="shared" si="0"/>
        <v>14029.664545716474</v>
      </c>
      <c r="Q22" s="147">
        <f t="shared" si="0"/>
        <v>8404.3445457164744</v>
      </c>
      <c r="R22" s="147">
        <f t="shared" si="0"/>
        <v>5625.32</v>
      </c>
      <c r="S22" s="148">
        <f t="shared" si="1"/>
        <v>0.5990410190015899</v>
      </c>
      <c r="U22" s="149">
        <f>(P22*1000)/'App 1 - Services'!F22/52</f>
        <v>6.6020956605436876</v>
      </c>
      <c r="V22" s="149">
        <f>(P22*1000)/'App 1 - Services'!G22/52</f>
        <v>18.787078982228142</v>
      </c>
      <c r="X22" s="150">
        <f t="shared" si="2"/>
        <v>0.5990410190015899</v>
      </c>
      <c r="Y22" s="151">
        <f t="shared" si="3"/>
        <v>2529.2345457164747</v>
      </c>
      <c r="Z22" s="152">
        <f t="shared" si="4"/>
        <v>0.18027762085649429</v>
      </c>
      <c r="AA22" s="151">
        <f t="shared" si="5"/>
        <v>2494.91</v>
      </c>
      <c r="AB22" s="152">
        <f t="shared" si="6"/>
        <v>0.17783105161710683</v>
      </c>
      <c r="AC22" s="151">
        <f t="shared" si="7"/>
        <v>9005.52</v>
      </c>
      <c r="AD22" s="152">
        <f t="shared" si="8"/>
        <v>0.64189132752639899</v>
      </c>
      <c r="AF22" s="146">
        <f>'[1]App 4-Recyclables'!V22+'[1]App 4-Recyclables'!AB22</f>
        <v>2529.2345457164747</v>
      </c>
      <c r="AG22" s="146">
        <f>'[1]App 4-Recyclables'!W22+'[1]App 4-Recyclables'!AC22</f>
        <v>2297.3345457164742</v>
      </c>
      <c r="AH22" s="146">
        <f>'[1]App 4-Recyclables'!X22+'[1]App 4-Recyclables'!AD22</f>
        <v>231.9</v>
      </c>
      <c r="AI22" s="146">
        <f>'[1]App 5-Organics'!V22+'[1]App 5-Organics'!AD22</f>
        <v>2494.91</v>
      </c>
      <c r="AJ22" s="146">
        <f>'[1]App 5-Organics'!W22+'[1]App 5-Organics'!AE22</f>
        <v>2494.91</v>
      </c>
      <c r="AK22" s="146">
        <f>'[1]App 5-Organics'!X22+'[1]App 5-Organics'!AF22</f>
        <v>0</v>
      </c>
      <c r="AL22" s="147">
        <f>'[1]App 6-Residual Waste'!AC22+'[1]App 6-Residual Waste'!AI22</f>
        <v>9005.52</v>
      </c>
      <c r="AM22" s="147">
        <f>'[1]App 6-Residual Waste'!AD22+'[1]App 6-Residual Waste'!AJ22</f>
        <v>3612.1</v>
      </c>
      <c r="AN22" s="147">
        <f>'[1]App 6-Residual Waste'!AE22+'[1]App 6-Residual Waste'!AK22</f>
        <v>5393.42</v>
      </c>
      <c r="AO22" s="140"/>
      <c r="AP22" s="147">
        <f t="shared" si="9"/>
        <v>14029.664545716474</v>
      </c>
      <c r="AQ22" s="147">
        <f t="shared" si="9"/>
        <v>8404.3445457164744</v>
      </c>
      <c r="AR22" s="147">
        <f t="shared" si="9"/>
        <v>5625.32</v>
      </c>
      <c r="AS22" s="148">
        <f t="shared" si="10"/>
        <v>0.5990410190015899</v>
      </c>
    </row>
    <row r="23" spans="1:45" ht="15.75" x14ac:dyDescent="0.25">
      <c r="A23" s="8">
        <v>11350</v>
      </c>
      <c r="B23" s="8" t="s">
        <v>93</v>
      </c>
      <c r="C23" s="8" t="s">
        <v>20</v>
      </c>
      <c r="D23" s="29" t="s">
        <v>4</v>
      </c>
      <c r="E23" s="145"/>
      <c r="F23" s="146">
        <f>'App 4 - Recyclables'!V23</f>
        <v>7555.6710253561714</v>
      </c>
      <c r="G23" s="146">
        <f>'App 4 - Recyclables'!W23</f>
        <v>7180.151025356171</v>
      </c>
      <c r="H23" s="146">
        <f>'App 4 - Recyclables'!X23</f>
        <v>375.52000000000004</v>
      </c>
      <c r="I23" s="146">
        <f>'App 5 - Organics'!V23</f>
        <v>8905.52</v>
      </c>
      <c r="J23" s="146">
        <f>'App 5 - Organics'!W23</f>
        <v>8905.52</v>
      </c>
      <c r="K23" s="146">
        <f>'App 5 - Organics'!X23</f>
        <v>0</v>
      </c>
      <c r="L23" s="147">
        <f>'App 6 - Residual Waste'!AC23</f>
        <v>9809.4699999999993</v>
      </c>
      <c r="M23" s="147">
        <f>'App 6 - Residual Waste'!AD23</f>
        <v>127.15999999999995</v>
      </c>
      <c r="N23" s="147">
        <f>'App 6 - Residual Waste'!AE23</f>
        <v>9682.31</v>
      </c>
      <c r="O23" s="140"/>
      <c r="P23" s="147">
        <f t="shared" si="0"/>
        <v>26270.661025356174</v>
      </c>
      <c r="Q23" s="147">
        <f t="shared" si="0"/>
        <v>16212.831025356172</v>
      </c>
      <c r="R23" s="147">
        <f t="shared" si="0"/>
        <v>10057.83</v>
      </c>
      <c r="S23" s="148">
        <f t="shared" si="1"/>
        <v>0.61714591078266789</v>
      </c>
      <c r="U23" s="149">
        <f>(P23*1000)/'App 1 - Services'!F23/52</f>
        <v>14.122523124098844</v>
      </c>
      <c r="V23" s="149">
        <f>(P23*1000)/'App 1 - Services'!G23/52</f>
        <v>34.753045313227489</v>
      </c>
      <c r="X23" s="150">
        <f t="shared" si="2"/>
        <v>0.61714591078266789</v>
      </c>
      <c r="Y23" s="151">
        <f t="shared" si="3"/>
        <v>7555.6710253561714</v>
      </c>
      <c r="Z23" s="152">
        <f t="shared" si="4"/>
        <v>0.28760871369256813</v>
      </c>
      <c r="AA23" s="151">
        <f t="shared" si="5"/>
        <v>8905.52</v>
      </c>
      <c r="AB23" s="152">
        <f t="shared" si="6"/>
        <v>0.33899108939072692</v>
      </c>
      <c r="AC23" s="151">
        <f t="shared" si="7"/>
        <v>9809.4699999999993</v>
      </c>
      <c r="AD23" s="152">
        <f t="shared" si="8"/>
        <v>0.3734001969167049</v>
      </c>
      <c r="AF23" s="146">
        <f>'[1]App 4-Recyclables'!V23+'[1]App 4-Recyclables'!AB23</f>
        <v>7555.6710253561714</v>
      </c>
      <c r="AG23" s="146">
        <f>'[1]App 4-Recyclables'!W23+'[1]App 4-Recyclables'!AC23</f>
        <v>7180.151025356171</v>
      </c>
      <c r="AH23" s="146">
        <f>'[1]App 4-Recyclables'!X23+'[1]App 4-Recyclables'!AD23</f>
        <v>375.52000000000004</v>
      </c>
      <c r="AI23" s="146">
        <f>'[1]App 5-Organics'!V23+'[1]App 5-Organics'!AD23</f>
        <v>8905.52</v>
      </c>
      <c r="AJ23" s="146">
        <f>'[1]App 5-Organics'!W23+'[1]App 5-Organics'!AE23</f>
        <v>8905.52</v>
      </c>
      <c r="AK23" s="146">
        <f>'[1]App 5-Organics'!X23+'[1]App 5-Organics'!AF23</f>
        <v>0</v>
      </c>
      <c r="AL23" s="147">
        <f>'[1]App 6-Residual Waste'!AC23+'[1]App 6-Residual Waste'!AI23</f>
        <v>11530.55</v>
      </c>
      <c r="AM23" s="147">
        <f>'[1]App 6-Residual Waste'!AD23+'[1]App 6-Residual Waste'!AJ23</f>
        <v>127.15999999999995</v>
      </c>
      <c r="AN23" s="147">
        <f>'[1]App 6-Residual Waste'!AE23+'[1]App 6-Residual Waste'!AK23</f>
        <v>11403.39</v>
      </c>
      <c r="AO23" s="140"/>
      <c r="AP23" s="147">
        <f t="shared" si="9"/>
        <v>27991.741025356172</v>
      </c>
      <c r="AQ23" s="147">
        <f t="shared" si="9"/>
        <v>16212.831025356172</v>
      </c>
      <c r="AR23" s="147">
        <f t="shared" si="9"/>
        <v>11778.91</v>
      </c>
      <c r="AS23" s="148">
        <f t="shared" si="10"/>
        <v>0.57920052242087638</v>
      </c>
    </row>
    <row r="24" spans="1:45" ht="15.75" x14ac:dyDescent="0.25">
      <c r="A24" s="8">
        <v>11400</v>
      </c>
      <c r="B24" s="8" t="s">
        <v>94</v>
      </c>
      <c r="C24" s="8" t="s">
        <v>42</v>
      </c>
      <c r="D24" s="29" t="s">
        <v>1</v>
      </c>
      <c r="E24" s="145"/>
      <c r="F24" s="146">
        <f>'App 4 - Recyclables'!V24</f>
        <v>904.53</v>
      </c>
      <c r="G24" s="146">
        <f>'App 4 - Recyclables'!W24</f>
        <v>878.76</v>
      </c>
      <c r="H24" s="146">
        <f>'App 4 - Recyclables'!X24</f>
        <v>25.77</v>
      </c>
      <c r="I24" s="146">
        <f>'App 5 - Organics'!V24</f>
        <v>394.83</v>
      </c>
      <c r="J24" s="146">
        <f>'App 5 - Organics'!W24</f>
        <v>394.83</v>
      </c>
      <c r="K24" s="146">
        <f>'App 5 - Organics'!X24</f>
        <v>0</v>
      </c>
      <c r="L24" s="147">
        <f>'App 6 - Residual Waste'!AC24</f>
        <v>5587.3</v>
      </c>
      <c r="M24" s="147">
        <f>'App 6 - Residual Waste'!AD24</f>
        <v>11.59</v>
      </c>
      <c r="N24" s="147">
        <f>'App 6 - Residual Waste'!AE24</f>
        <v>5575.71</v>
      </c>
      <c r="O24" s="140"/>
      <c r="P24" s="147">
        <f t="shared" si="0"/>
        <v>6886.66</v>
      </c>
      <c r="Q24" s="147">
        <f t="shared" si="0"/>
        <v>1285.1799999999998</v>
      </c>
      <c r="R24" s="147">
        <f t="shared" si="0"/>
        <v>5601.4800000000005</v>
      </c>
      <c r="S24" s="148">
        <f t="shared" si="1"/>
        <v>0.18661876729793542</v>
      </c>
      <c r="U24" s="149">
        <f>(P24*1000)/'App 1 - Services'!F24/52</f>
        <v>9.6831007699619231</v>
      </c>
      <c r="V24" s="149">
        <f>(P24*1000)/'App 1 - Services'!G24/52</f>
        <v>17.810081929904417</v>
      </c>
      <c r="X24" s="150">
        <f t="shared" si="2"/>
        <v>0.18661876729793542</v>
      </c>
      <c r="Y24" s="151">
        <f t="shared" si="3"/>
        <v>904.53</v>
      </c>
      <c r="Z24" s="152">
        <f t="shared" si="4"/>
        <v>0.13134523847554547</v>
      </c>
      <c r="AA24" s="151">
        <f t="shared" si="5"/>
        <v>394.83</v>
      </c>
      <c r="AB24" s="152">
        <f t="shared" si="6"/>
        <v>5.7332582122538354E-2</v>
      </c>
      <c r="AC24" s="151">
        <f t="shared" si="7"/>
        <v>5587.3</v>
      </c>
      <c r="AD24" s="152">
        <f t="shared" si="8"/>
        <v>0.8113221794019162</v>
      </c>
      <c r="AF24" s="146">
        <f>'[1]App 4-Recyclables'!V24+'[1]App 4-Recyclables'!AB24</f>
        <v>904.53</v>
      </c>
      <c r="AG24" s="146">
        <f>'[1]App 4-Recyclables'!W24+'[1]App 4-Recyclables'!AC24</f>
        <v>878.76</v>
      </c>
      <c r="AH24" s="146">
        <f>'[1]App 4-Recyclables'!X24+'[1]App 4-Recyclables'!AD24</f>
        <v>25.77</v>
      </c>
      <c r="AI24" s="146">
        <f>'[1]App 5-Organics'!V24+'[1]App 5-Organics'!AD24</f>
        <v>394.83</v>
      </c>
      <c r="AJ24" s="146">
        <f>'[1]App 5-Organics'!W24+'[1]App 5-Organics'!AE24</f>
        <v>394.83</v>
      </c>
      <c r="AK24" s="146">
        <f>'[1]App 5-Organics'!X24+'[1]App 5-Organics'!AF24</f>
        <v>0</v>
      </c>
      <c r="AL24" s="147">
        <f>'[1]App 6-Residual Waste'!AC24+'[1]App 6-Residual Waste'!AI24</f>
        <v>5587.3</v>
      </c>
      <c r="AM24" s="147">
        <f>'[1]App 6-Residual Waste'!AD24+'[1]App 6-Residual Waste'!AJ24</f>
        <v>11.59</v>
      </c>
      <c r="AN24" s="147">
        <f>'[1]App 6-Residual Waste'!AE24+'[1]App 6-Residual Waste'!AK24</f>
        <v>5575.71</v>
      </c>
      <c r="AO24" s="140"/>
      <c r="AP24" s="147">
        <f t="shared" si="9"/>
        <v>6886.66</v>
      </c>
      <c r="AQ24" s="147">
        <f t="shared" si="9"/>
        <v>1285.1799999999998</v>
      </c>
      <c r="AR24" s="147">
        <f t="shared" si="9"/>
        <v>5601.4800000000005</v>
      </c>
      <c r="AS24" s="148">
        <f t="shared" si="10"/>
        <v>0.18661876729793542</v>
      </c>
    </row>
    <row r="25" spans="1:45" ht="15.75" x14ac:dyDescent="0.25">
      <c r="A25" s="8">
        <v>11450</v>
      </c>
      <c r="B25" s="8" t="s">
        <v>76</v>
      </c>
      <c r="C25" s="8" t="s">
        <v>193</v>
      </c>
      <c r="D25" s="29" t="s">
        <v>3</v>
      </c>
      <c r="E25" s="145"/>
      <c r="F25" s="146">
        <f>'App 4 - Recyclables'!V25</f>
        <v>13481.958129157585</v>
      </c>
      <c r="G25" s="146">
        <f>'App 4 - Recyclables'!W25</f>
        <v>10899.538129157583</v>
      </c>
      <c r="H25" s="146">
        <f>'App 4 - Recyclables'!X25</f>
        <v>2582.42</v>
      </c>
      <c r="I25" s="146">
        <f>'App 5 - Organics'!V25</f>
        <v>13478.45</v>
      </c>
      <c r="J25" s="146">
        <f>'App 5 - Organics'!W25</f>
        <v>13088.980000000001</v>
      </c>
      <c r="K25" s="146">
        <f>'App 5 - Organics'!X25</f>
        <v>389.47</v>
      </c>
      <c r="L25" s="147">
        <f>'App 6 - Residual Waste'!AC25</f>
        <v>30069.730000000003</v>
      </c>
      <c r="M25" s="147">
        <f>'App 6 - Residual Waste'!AD25</f>
        <v>6821.8500000000013</v>
      </c>
      <c r="N25" s="147">
        <f>'App 6 - Residual Waste'!AE25</f>
        <v>23247.879999999997</v>
      </c>
      <c r="O25" s="140"/>
      <c r="P25" s="147">
        <f t="shared" si="0"/>
        <v>57030.138129157589</v>
      </c>
      <c r="Q25" s="147">
        <f t="shared" si="0"/>
        <v>30810.368129157589</v>
      </c>
      <c r="R25" s="147">
        <f t="shared" si="0"/>
        <v>26219.769999999997</v>
      </c>
      <c r="S25" s="148">
        <f t="shared" si="1"/>
        <v>0.54024712441307032</v>
      </c>
      <c r="U25" s="149">
        <f>(P25*1000)/'App 1 - Services'!F25/52</f>
        <v>10.173213230810186</v>
      </c>
      <c r="V25" s="149">
        <f>(P25*1000)/'App 1 - Services'!G25/52</f>
        <v>26.335296567672536</v>
      </c>
      <c r="X25" s="150">
        <f t="shared" si="2"/>
        <v>0.54024712441307032</v>
      </c>
      <c r="Y25" s="151">
        <f t="shared" si="3"/>
        <v>13481.958129157585</v>
      </c>
      <c r="Z25" s="152">
        <f t="shared" si="4"/>
        <v>0.23640058697779506</v>
      </c>
      <c r="AA25" s="151">
        <f t="shared" si="5"/>
        <v>13478.45</v>
      </c>
      <c r="AB25" s="152">
        <f t="shared" si="6"/>
        <v>0.23633907337686988</v>
      </c>
      <c r="AC25" s="151">
        <f t="shared" si="7"/>
        <v>30069.730000000003</v>
      </c>
      <c r="AD25" s="152">
        <f t="shared" si="8"/>
        <v>0.52726033964533503</v>
      </c>
      <c r="AF25" s="146">
        <f>'[1]App 4-Recyclables'!V25+'[1]App 4-Recyclables'!AB25</f>
        <v>13482.308129157585</v>
      </c>
      <c r="AG25" s="146">
        <f>'[1]App 4-Recyclables'!W25+'[1]App 4-Recyclables'!AC25</f>
        <v>10899.538129157583</v>
      </c>
      <c r="AH25" s="146">
        <f>'[1]App 4-Recyclables'!X25+'[1]App 4-Recyclables'!AD25</f>
        <v>2582.42</v>
      </c>
      <c r="AI25" s="146">
        <f>'[1]App 5-Organics'!V25+'[1]App 5-Organics'!AD25</f>
        <v>13667.710000000001</v>
      </c>
      <c r="AJ25" s="146">
        <f>'[1]App 5-Organics'!W25+'[1]App 5-Organics'!AE25</f>
        <v>13277.980000000001</v>
      </c>
      <c r="AK25" s="146">
        <f>'[1]App 5-Organics'!X25+'[1]App 5-Organics'!AF25</f>
        <v>389.47</v>
      </c>
      <c r="AL25" s="147">
        <f>'[1]App 6-Residual Waste'!AC25+'[1]App 6-Residual Waste'!AI25</f>
        <v>32386.15</v>
      </c>
      <c r="AM25" s="147">
        <f>'[1]App 6-Residual Waste'!AD25+'[1]App 6-Residual Waste'!AJ25</f>
        <v>6821.8500000000013</v>
      </c>
      <c r="AN25" s="147">
        <f>'[1]App 6-Residual Waste'!AE25+'[1]App 6-Residual Waste'!AK25</f>
        <v>25564.299999999996</v>
      </c>
      <c r="AO25" s="140"/>
      <c r="AP25" s="147">
        <f t="shared" si="9"/>
        <v>59536.168129157588</v>
      </c>
      <c r="AQ25" s="147">
        <f t="shared" si="9"/>
        <v>30999.368129157589</v>
      </c>
      <c r="AR25" s="147">
        <f t="shared" si="9"/>
        <v>28536.189999999995</v>
      </c>
      <c r="AS25" s="148">
        <f t="shared" si="10"/>
        <v>0.52068127834340383</v>
      </c>
    </row>
    <row r="26" spans="1:45" ht="15.75" x14ac:dyDescent="0.25">
      <c r="A26" s="8">
        <v>11500</v>
      </c>
      <c r="B26" s="8" t="s">
        <v>53</v>
      </c>
      <c r="C26" s="8" t="s">
        <v>193</v>
      </c>
      <c r="D26" s="29" t="s">
        <v>3</v>
      </c>
      <c r="E26" s="145"/>
      <c r="F26" s="146">
        <f>'App 4 - Recyclables'!V26</f>
        <v>14129.017073728362</v>
      </c>
      <c r="G26" s="146">
        <f>'App 4 - Recyclables'!W26</f>
        <v>11302.527073728363</v>
      </c>
      <c r="H26" s="146">
        <f>'App 4 - Recyclables'!X26</f>
        <v>2826.49</v>
      </c>
      <c r="I26" s="146">
        <f>'App 5 - Organics'!V26</f>
        <v>19111.18</v>
      </c>
      <c r="J26" s="146">
        <f>'App 5 - Organics'!W26</f>
        <v>18890.080000000002</v>
      </c>
      <c r="K26" s="146">
        <f>'App 5 - Organics'!X26</f>
        <v>221.1</v>
      </c>
      <c r="L26" s="147">
        <f>'App 6 - Residual Waste'!AC26</f>
        <v>46749.760000000002</v>
      </c>
      <c r="M26" s="147">
        <f>'App 6 - Residual Waste'!AD26</f>
        <v>55.379999999997381</v>
      </c>
      <c r="N26" s="147">
        <f>'App 6 - Residual Waste'!AE26</f>
        <v>46694.380000000005</v>
      </c>
      <c r="O26" s="140"/>
      <c r="P26" s="147">
        <f t="shared" si="0"/>
        <v>79989.957073728365</v>
      </c>
      <c r="Q26" s="147">
        <f t="shared" si="0"/>
        <v>30247.987073728364</v>
      </c>
      <c r="R26" s="147">
        <f t="shared" si="0"/>
        <v>49741.97</v>
      </c>
      <c r="S26" s="148">
        <f t="shared" si="1"/>
        <v>0.37814730974099886</v>
      </c>
      <c r="U26" s="149">
        <f>(P26*1000)/'App 1 - Services'!F26/52</f>
        <v>8.8366617565919121</v>
      </c>
      <c r="V26" s="149">
        <f>(P26*1000)/'App 1 - Services'!G26/52</f>
        <v>24.158121794487744</v>
      </c>
      <c r="X26" s="150">
        <f t="shared" si="2"/>
        <v>0.37814730974099886</v>
      </c>
      <c r="Y26" s="151">
        <f t="shared" si="3"/>
        <v>14129.017073728362</v>
      </c>
      <c r="Z26" s="152">
        <f t="shared" si="4"/>
        <v>0.1766348875610142</v>
      </c>
      <c r="AA26" s="151">
        <f t="shared" si="5"/>
        <v>19111.18</v>
      </c>
      <c r="AB26" s="152">
        <f t="shared" si="6"/>
        <v>0.23891974316706832</v>
      </c>
      <c r="AC26" s="151">
        <f t="shared" si="7"/>
        <v>46749.760000000002</v>
      </c>
      <c r="AD26" s="152">
        <f t="shared" si="8"/>
        <v>0.58444536927191748</v>
      </c>
      <c r="AF26" s="146">
        <f>'[1]App 4-Recyclables'!V26+'[1]App 4-Recyclables'!AB26</f>
        <v>14129.017073728362</v>
      </c>
      <c r="AG26" s="146">
        <f>'[1]App 4-Recyclables'!W26+'[1]App 4-Recyclables'!AC26</f>
        <v>11302.527073728363</v>
      </c>
      <c r="AH26" s="146">
        <f>'[1]App 4-Recyclables'!X26+'[1]App 4-Recyclables'!AD26</f>
        <v>2826.49</v>
      </c>
      <c r="AI26" s="146">
        <f>'[1]App 5-Organics'!V26+'[1]App 5-Organics'!AD26</f>
        <v>19111.18</v>
      </c>
      <c r="AJ26" s="146">
        <f>'[1]App 5-Organics'!W26+'[1]App 5-Organics'!AE26</f>
        <v>18890.080000000002</v>
      </c>
      <c r="AK26" s="146">
        <f>'[1]App 5-Organics'!X26+'[1]App 5-Organics'!AF26</f>
        <v>221.1</v>
      </c>
      <c r="AL26" s="147">
        <f>'[1]App 6-Residual Waste'!AC26+'[1]App 6-Residual Waste'!AI26</f>
        <v>46749.760000000002</v>
      </c>
      <c r="AM26" s="147">
        <f>'[1]App 6-Residual Waste'!AD26+'[1]App 6-Residual Waste'!AJ26</f>
        <v>55.379999999997381</v>
      </c>
      <c r="AN26" s="147">
        <f>'[1]App 6-Residual Waste'!AE26+'[1]App 6-Residual Waste'!AK26</f>
        <v>46694.380000000005</v>
      </c>
      <c r="AO26" s="140"/>
      <c r="AP26" s="147">
        <f t="shared" si="9"/>
        <v>79989.957073728365</v>
      </c>
      <c r="AQ26" s="147">
        <f t="shared" si="9"/>
        <v>30247.987073728364</v>
      </c>
      <c r="AR26" s="147">
        <f t="shared" si="9"/>
        <v>49741.97</v>
      </c>
      <c r="AS26" s="148">
        <f t="shared" si="10"/>
        <v>0.37814730974099886</v>
      </c>
    </row>
    <row r="27" spans="1:45" ht="15.75" x14ac:dyDescent="0.25">
      <c r="A27" s="8">
        <v>11520</v>
      </c>
      <c r="B27" s="8" t="s">
        <v>95</v>
      </c>
      <c r="C27" s="8" t="s">
        <v>18</v>
      </c>
      <c r="D27" s="29" t="s">
        <v>3</v>
      </c>
      <c r="E27" s="145"/>
      <c r="F27" s="146">
        <f>'App 4 - Recyclables'!V27</f>
        <v>8969.812093323595</v>
      </c>
      <c r="G27" s="146">
        <f>'App 4 - Recyclables'!W27</f>
        <v>8292.812093323595</v>
      </c>
      <c r="H27" s="146">
        <f>'App 4 - Recyclables'!X27</f>
        <v>677</v>
      </c>
      <c r="I27" s="146">
        <f>'App 5 - Organics'!V27</f>
        <v>5042</v>
      </c>
      <c r="J27" s="146">
        <f>'App 5 - Organics'!W27</f>
        <v>4992</v>
      </c>
      <c r="K27" s="146">
        <f>'App 5 - Organics'!X27</f>
        <v>50</v>
      </c>
      <c r="L27" s="147">
        <f>'App 6 - Residual Waste'!AC27</f>
        <v>21488.58</v>
      </c>
      <c r="M27" s="147">
        <f>'App 6 - Residual Waste'!AD27</f>
        <v>604.11</v>
      </c>
      <c r="N27" s="147">
        <f>'App 6 - Residual Waste'!AE27</f>
        <v>20884.47</v>
      </c>
      <c r="O27" s="140"/>
      <c r="P27" s="147">
        <f t="shared" si="0"/>
        <v>35500.392093323593</v>
      </c>
      <c r="Q27" s="147">
        <f t="shared" si="0"/>
        <v>13888.922093323596</v>
      </c>
      <c r="R27" s="147">
        <f t="shared" si="0"/>
        <v>21611.47</v>
      </c>
      <c r="S27" s="148">
        <f t="shared" si="1"/>
        <v>0.39123292094386825</v>
      </c>
      <c r="U27" s="149">
        <f>(P27*1000)/'App 1 - Services'!F27/52</f>
        <v>7.0709461206476512</v>
      </c>
      <c r="V27" s="149">
        <f>(P27*1000)/'App 1 - Services'!G27/52</f>
        <v>17.804606925425897</v>
      </c>
      <c r="X27" s="150">
        <f t="shared" si="2"/>
        <v>0.39123292094386825</v>
      </c>
      <c r="Y27" s="151">
        <f t="shared" si="3"/>
        <v>8969.812093323595</v>
      </c>
      <c r="Z27" s="152">
        <f t="shared" si="4"/>
        <v>0.25266797250418283</v>
      </c>
      <c r="AA27" s="151">
        <f t="shared" si="5"/>
        <v>5042</v>
      </c>
      <c r="AB27" s="152">
        <f t="shared" si="6"/>
        <v>0.14202660034699244</v>
      </c>
      <c r="AC27" s="151">
        <f t="shared" si="7"/>
        <v>21488.58</v>
      </c>
      <c r="AD27" s="152">
        <f t="shared" si="8"/>
        <v>0.60530542714882485</v>
      </c>
      <c r="AF27" s="146">
        <f>'[1]App 4-Recyclables'!V27+'[1]App 4-Recyclables'!AB27</f>
        <v>8969.812093323595</v>
      </c>
      <c r="AG27" s="146">
        <f>'[1]App 4-Recyclables'!W27+'[1]App 4-Recyclables'!AC27</f>
        <v>8292.812093323595</v>
      </c>
      <c r="AH27" s="146">
        <f>'[1]App 4-Recyclables'!X27+'[1]App 4-Recyclables'!AD27</f>
        <v>677</v>
      </c>
      <c r="AI27" s="146">
        <f>'[1]App 5-Organics'!V27+'[1]App 5-Organics'!AD27</f>
        <v>5154.8</v>
      </c>
      <c r="AJ27" s="146">
        <f>'[1]App 5-Organics'!W27+'[1]App 5-Organics'!AE27</f>
        <v>5103</v>
      </c>
      <c r="AK27" s="146">
        <f>'[1]App 5-Organics'!X27+'[1]App 5-Organics'!AF27</f>
        <v>51.12</v>
      </c>
      <c r="AL27" s="147">
        <f>'[1]App 6-Residual Waste'!AC27+'[1]App 6-Residual Waste'!AI27</f>
        <v>22252.880000000001</v>
      </c>
      <c r="AM27" s="147">
        <f>'[1]App 6-Residual Waste'!AD27+'[1]App 6-Residual Waste'!AJ27</f>
        <v>604.11</v>
      </c>
      <c r="AN27" s="147">
        <f>'[1]App 6-Residual Waste'!AE27+'[1]App 6-Residual Waste'!AK27</f>
        <v>21648.77</v>
      </c>
      <c r="AO27" s="140"/>
      <c r="AP27" s="147">
        <f t="shared" si="9"/>
        <v>36377.492093323599</v>
      </c>
      <c r="AQ27" s="147">
        <f t="shared" si="9"/>
        <v>13999.922093323596</v>
      </c>
      <c r="AR27" s="147">
        <f t="shared" si="9"/>
        <v>22376.89</v>
      </c>
      <c r="AS27" s="148">
        <f t="shared" si="10"/>
        <v>0.38485121671961042</v>
      </c>
    </row>
    <row r="28" spans="1:45" ht="15.75" x14ac:dyDescent="0.25">
      <c r="A28" s="8">
        <v>11570</v>
      </c>
      <c r="B28" s="8" t="s">
        <v>96</v>
      </c>
      <c r="C28" s="8" t="s">
        <v>18</v>
      </c>
      <c r="D28" s="29" t="s">
        <v>3</v>
      </c>
      <c r="E28" s="145"/>
      <c r="F28" s="146">
        <f>'App 4 - Recyclables'!V28</f>
        <v>25374.08591780331</v>
      </c>
      <c r="G28" s="146">
        <f>'App 4 - Recyclables'!W28</f>
        <v>21081.815917803309</v>
      </c>
      <c r="H28" s="146">
        <f>'App 4 - Recyclables'!X28</f>
        <v>4292.2700000000004</v>
      </c>
      <c r="I28" s="146">
        <f>'App 5 - Organics'!V28</f>
        <v>28421</v>
      </c>
      <c r="J28" s="146">
        <f>'App 5 - Organics'!W28</f>
        <v>28421</v>
      </c>
      <c r="K28" s="146">
        <f>'App 5 - Organics'!X28</f>
        <v>0</v>
      </c>
      <c r="L28" s="147">
        <f>'App 6 - Residual Waste'!AC28</f>
        <v>102376</v>
      </c>
      <c r="M28" s="147">
        <f>'App 6 - Residual Waste'!AD28</f>
        <v>5057</v>
      </c>
      <c r="N28" s="147">
        <f>'App 6 - Residual Waste'!AE28</f>
        <v>97319</v>
      </c>
      <c r="O28" s="140"/>
      <c r="P28" s="147">
        <f t="shared" si="0"/>
        <v>156171.08591780331</v>
      </c>
      <c r="Q28" s="147">
        <f t="shared" si="0"/>
        <v>54559.815917803309</v>
      </c>
      <c r="R28" s="147">
        <f t="shared" si="0"/>
        <v>101611.27</v>
      </c>
      <c r="S28" s="148">
        <f t="shared" si="1"/>
        <v>0.34935926581518095</v>
      </c>
      <c r="U28" s="149">
        <f>(P28*1000)/'App 1 - Services'!F28/52</f>
        <v>7.8949598949646163</v>
      </c>
      <c r="V28" s="149">
        <f>(P28*1000)/'App 1 - Services'!G28/52</f>
        <v>21.826077672429051</v>
      </c>
      <c r="X28" s="150">
        <f t="shared" si="2"/>
        <v>0.34935926581518095</v>
      </c>
      <c r="Y28" s="151">
        <f t="shared" si="3"/>
        <v>25374.08591780331</v>
      </c>
      <c r="Z28" s="152">
        <f t="shared" si="4"/>
        <v>0.16247620850352745</v>
      </c>
      <c r="AA28" s="151">
        <f t="shared" si="5"/>
        <v>28421</v>
      </c>
      <c r="AB28" s="152">
        <f t="shared" si="6"/>
        <v>0.18198631220992259</v>
      </c>
      <c r="AC28" s="151">
        <f t="shared" si="7"/>
        <v>102376</v>
      </c>
      <c r="AD28" s="152">
        <f t="shared" si="8"/>
        <v>0.65553747928654993</v>
      </c>
      <c r="AF28" s="146">
        <f>'[1]App 4-Recyclables'!V28+'[1]App 4-Recyclables'!AB28</f>
        <v>25374.08591780331</v>
      </c>
      <c r="AG28" s="146">
        <f>'[1]App 4-Recyclables'!W28+'[1]App 4-Recyclables'!AC28</f>
        <v>21081.815917803309</v>
      </c>
      <c r="AH28" s="146">
        <f>'[1]App 4-Recyclables'!X28+'[1]App 4-Recyclables'!AD28</f>
        <v>4292.2700000000004</v>
      </c>
      <c r="AI28" s="146">
        <f>'[1]App 5-Organics'!V28+'[1]App 5-Organics'!AD28</f>
        <v>28421</v>
      </c>
      <c r="AJ28" s="146">
        <f>'[1]App 5-Organics'!W28+'[1]App 5-Organics'!AE28</f>
        <v>28421</v>
      </c>
      <c r="AK28" s="146">
        <f>'[1]App 5-Organics'!X28+'[1]App 5-Organics'!AF28</f>
        <v>0</v>
      </c>
      <c r="AL28" s="147">
        <f>'[1]App 6-Residual Waste'!AC28+'[1]App 6-Residual Waste'!AI28</f>
        <v>104070</v>
      </c>
      <c r="AM28" s="147">
        <f>'[1]App 6-Residual Waste'!AD28+'[1]App 6-Residual Waste'!AJ28</f>
        <v>5057</v>
      </c>
      <c r="AN28" s="147">
        <f>'[1]App 6-Residual Waste'!AE28+'[1]App 6-Residual Waste'!AK28</f>
        <v>99013</v>
      </c>
      <c r="AO28" s="140"/>
      <c r="AP28" s="147">
        <f t="shared" si="9"/>
        <v>157865.08591780331</v>
      </c>
      <c r="AQ28" s="147">
        <f t="shared" si="9"/>
        <v>54559.815917803309</v>
      </c>
      <c r="AR28" s="147">
        <f t="shared" si="9"/>
        <v>103305.27</v>
      </c>
      <c r="AS28" s="148">
        <f t="shared" si="10"/>
        <v>0.34561040270938276</v>
      </c>
    </row>
    <row r="29" spans="1:45" ht="15.75" x14ac:dyDescent="0.25">
      <c r="A29" s="8">
        <v>11600</v>
      </c>
      <c r="B29" s="8" t="s">
        <v>97</v>
      </c>
      <c r="C29" s="8" t="s">
        <v>75</v>
      </c>
      <c r="D29" s="29" t="s">
        <v>1</v>
      </c>
      <c r="E29" s="145"/>
      <c r="F29" s="146">
        <f>'App 4 - Recyclables'!V29</f>
        <v>222.20936242094396</v>
      </c>
      <c r="G29" s="146">
        <f>'App 4 - Recyclables'!W29</f>
        <v>222.20936242094396</v>
      </c>
      <c r="H29" s="146">
        <f>'App 4 - Recyclables'!X29</f>
        <v>0</v>
      </c>
      <c r="I29" s="146">
        <f>'App 5 - Organics'!V29</f>
        <v>393.19</v>
      </c>
      <c r="J29" s="146">
        <f>'App 5 - Organics'!W29</f>
        <v>393.19</v>
      </c>
      <c r="K29" s="146">
        <f>'App 5 - Organics'!X29</f>
        <v>0</v>
      </c>
      <c r="L29" s="147">
        <f>'App 6 - Residual Waste'!AC29</f>
        <v>780.99</v>
      </c>
      <c r="M29" s="147">
        <f>'App 6 - Residual Waste'!AD29</f>
        <v>0</v>
      </c>
      <c r="N29" s="147">
        <f>'App 6 - Residual Waste'!AE29</f>
        <v>780.99</v>
      </c>
      <c r="O29" s="140"/>
      <c r="P29" s="147">
        <f t="shared" si="0"/>
        <v>1396.3893624209441</v>
      </c>
      <c r="Q29" s="147">
        <f t="shared" si="0"/>
        <v>615.39936242094393</v>
      </c>
      <c r="R29" s="147">
        <f t="shared" si="0"/>
        <v>780.99</v>
      </c>
      <c r="S29" s="148">
        <f t="shared" si="1"/>
        <v>0.44070756980990999</v>
      </c>
      <c r="U29" s="149">
        <f>(P29*1000)/'App 1 - Services'!F29/52</f>
        <v>9.6043067185329605</v>
      </c>
      <c r="V29" s="149">
        <f>(P29*1000)/'App 1 - Services'!G29/52</f>
        <v>19.995265513788645</v>
      </c>
      <c r="X29" s="150">
        <f t="shared" si="2"/>
        <v>0.44070756980990999</v>
      </c>
      <c r="Y29" s="151">
        <f t="shared" si="3"/>
        <v>222.20936242094396</v>
      </c>
      <c r="Z29" s="152">
        <f t="shared" si="4"/>
        <v>0.15913137725118143</v>
      </c>
      <c r="AA29" s="151">
        <f t="shared" si="5"/>
        <v>393.19</v>
      </c>
      <c r="AB29" s="152">
        <f t="shared" si="6"/>
        <v>0.28157619255872862</v>
      </c>
      <c r="AC29" s="151">
        <f t="shared" si="7"/>
        <v>780.99</v>
      </c>
      <c r="AD29" s="152">
        <f t="shared" si="8"/>
        <v>0.5592924301900899</v>
      </c>
      <c r="AF29" s="146">
        <f>'[1]App 4-Recyclables'!V29+'[1]App 4-Recyclables'!AB29</f>
        <v>222.20936242094396</v>
      </c>
      <c r="AG29" s="146">
        <f>'[1]App 4-Recyclables'!W29+'[1]App 4-Recyclables'!AC29</f>
        <v>222.20936242094396</v>
      </c>
      <c r="AH29" s="146">
        <f>'[1]App 4-Recyclables'!X29+'[1]App 4-Recyclables'!AD29</f>
        <v>0</v>
      </c>
      <c r="AI29" s="146">
        <f>'[1]App 5-Organics'!V29+'[1]App 5-Organics'!AD29</f>
        <v>393.19</v>
      </c>
      <c r="AJ29" s="146">
        <f>'[1]App 5-Organics'!W29+'[1]App 5-Organics'!AE29</f>
        <v>393.19</v>
      </c>
      <c r="AK29" s="146">
        <f>'[1]App 5-Organics'!X29+'[1]App 5-Organics'!AF29</f>
        <v>0</v>
      </c>
      <c r="AL29" s="147">
        <f>'[1]App 6-Residual Waste'!AC29+'[1]App 6-Residual Waste'!AI29</f>
        <v>780.99</v>
      </c>
      <c r="AM29" s="147">
        <f>'[1]App 6-Residual Waste'!AD29+'[1]App 6-Residual Waste'!AJ29</f>
        <v>0</v>
      </c>
      <c r="AN29" s="147">
        <f>'[1]App 6-Residual Waste'!AE29+'[1]App 6-Residual Waste'!AK29</f>
        <v>780.99</v>
      </c>
      <c r="AO29" s="140"/>
      <c r="AP29" s="147">
        <f t="shared" si="9"/>
        <v>1396.3893624209441</v>
      </c>
      <c r="AQ29" s="147">
        <f t="shared" si="9"/>
        <v>615.39936242094393</v>
      </c>
      <c r="AR29" s="147">
        <f t="shared" si="9"/>
        <v>780.99</v>
      </c>
      <c r="AS29" s="148">
        <f t="shared" si="10"/>
        <v>0.44070756980990999</v>
      </c>
    </row>
    <row r="30" spans="1:45" ht="15.75" x14ac:dyDescent="0.25">
      <c r="A30" s="8">
        <v>11650</v>
      </c>
      <c r="B30" s="8" t="s">
        <v>98</v>
      </c>
      <c r="C30" s="8" t="s">
        <v>25</v>
      </c>
      <c r="D30" s="29" t="s">
        <v>2</v>
      </c>
      <c r="E30" s="145"/>
      <c r="F30" s="146">
        <f>'App 4 - Recyclables'!V30</f>
        <v>38111.521438404117</v>
      </c>
      <c r="G30" s="146">
        <f>'App 4 - Recyclables'!W30</f>
        <v>35288.521438404117</v>
      </c>
      <c r="H30" s="146">
        <f>'App 4 - Recyclables'!X30</f>
        <v>2823</v>
      </c>
      <c r="I30" s="146">
        <f>'App 5 - Organics'!V30</f>
        <v>50361</v>
      </c>
      <c r="J30" s="146">
        <f>'App 5 - Organics'!W30</f>
        <v>50271</v>
      </c>
      <c r="K30" s="146">
        <f>'App 5 - Organics'!X30</f>
        <v>90</v>
      </c>
      <c r="L30" s="147">
        <f>'App 6 - Residual Waste'!AC30</f>
        <v>122150</v>
      </c>
      <c r="M30" s="147">
        <f>'App 6 - Residual Waste'!AD30</f>
        <v>1019</v>
      </c>
      <c r="N30" s="147">
        <f>'App 6 - Residual Waste'!AE30</f>
        <v>121131</v>
      </c>
      <c r="O30" s="140"/>
      <c r="P30" s="147">
        <f t="shared" si="0"/>
        <v>210622.5214384041</v>
      </c>
      <c r="Q30" s="147">
        <f t="shared" si="0"/>
        <v>86578.521438404117</v>
      </c>
      <c r="R30" s="147">
        <f t="shared" si="0"/>
        <v>124044</v>
      </c>
      <c r="S30" s="148">
        <f t="shared" si="1"/>
        <v>0.41106013187542118</v>
      </c>
      <c r="U30" s="149">
        <f>(P30*1000)/'App 1 - Services'!F30/52</f>
        <v>11.712919862076159</v>
      </c>
      <c r="V30" s="149">
        <f>(P30*1000)/'App 1 - Services'!G30/52</f>
        <v>30.123478961071946</v>
      </c>
      <c r="X30" s="150">
        <f t="shared" si="2"/>
        <v>0.41106013187542118</v>
      </c>
      <c r="Y30" s="151">
        <f t="shared" si="3"/>
        <v>38111.521438404117</v>
      </c>
      <c r="Z30" s="152">
        <f t="shared" si="4"/>
        <v>0.18094703822805441</v>
      </c>
      <c r="AA30" s="151">
        <f t="shared" si="5"/>
        <v>50361</v>
      </c>
      <c r="AB30" s="152">
        <f t="shared" si="6"/>
        <v>0.23910548433315532</v>
      </c>
      <c r="AC30" s="151">
        <f t="shared" si="7"/>
        <v>122150</v>
      </c>
      <c r="AD30" s="152">
        <f t="shared" si="8"/>
        <v>0.57994747743879038</v>
      </c>
      <c r="AF30" s="146">
        <f>'[1]App 4-Recyclables'!V30+'[1]App 4-Recyclables'!AB30</f>
        <v>38111.521438404117</v>
      </c>
      <c r="AG30" s="146">
        <f>'[1]App 4-Recyclables'!W30+'[1]App 4-Recyclables'!AC30</f>
        <v>35288.521438404117</v>
      </c>
      <c r="AH30" s="146">
        <f>'[1]App 4-Recyclables'!X30+'[1]App 4-Recyclables'!AD30</f>
        <v>2823</v>
      </c>
      <c r="AI30" s="146">
        <f>'[1]App 5-Organics'!V30+'[1]App 5-Organics'!AD30</f>
        <v>50361</v>
      </c>
      <c r="AJ30" s="146">
        <f>'[1]App 5-Organics'!W30+'[1]App 5-Organics'!AE30</f>
        <v>50271</v>
      </c>
      <c r="AK30" s="146">
        <f>'[1]App 5-Organics'!X30+'[1]App 5-Organics'!AF30</f>
        <v>90</v>
      </c>
      <c r="AL30" s="147">
        <f>'[1]App 6-Residual Waste'!AC30+'[1]App 6-Residual Waste'!AI30</f>
        <v>126586</v>
      </c>
      <c r="AM30" s="147">
        <f>'[1]App 6-Residual Waste'!AD30+'[1]App 6-Residual Waste'!AJ30</f>
        <v>1019</v>
      </c>
      <c r="AN30" s="147">
        <f>'[1]App 6-Residual Waste'!AE30+'[1]App 6-Residual Waste'!AK30</f>
        <v>125567</v>
      </c>
      <c r="AO30" s="140"/>
      <c r="AP30" s="147">
        <f t="shared" si="9"/>
        <v>215058.5214384041</v>
      </c>
      <c r="AQ30" s="147">
        <f t="shared" si="9"/>
        <v>86578.521438404117</v>
      </c>
      <c r="AR30" s="147">
        <f t="shared" si="9"/>
        <v>128480</v>
      </c>
      <c r="AS30" s="148">
        <f t="shared" si="10"/>
        <v>0.40258121770450966</v>
      </c>
    </row>
    <row r="31" spans="1:45" ht="15.75" x14ac:dyDescent="0.25">
      <c r="A31" s="8">
        <v>11700</v>
      </c>
      <c r="B31" s="8" t="s">
        <v>99</v>
      </c>
      <c r="C31" s="8" t="s">
        <v>42</v>
      </c>
      <c r="D31" s="29" t="s">
        <v>1</v>
      </c>
      <c r="E31" s="145"/>
      <c r="F31" s="146">
        <f>'App 4 - Recyclables'!V31</f>
        <v>182.48030478680781</v>
      </c>
      <c r="G31" s="146">
        <f>'App 4 - Recyclables'!W31</f>
        <v>151.98030478680781</v>
      </c>
      <c r="H31" s="146">
        <f>'App 4 - Recyclables'!X31</f>
        <v>30.5</v>
      </c>
      <c r="I31" s="146">
        <f>'App 5 - Organics'!V31</f>
        <v>50</v>
      </c>
      <c r="J31" s="146">
        <f>'App 5 - Organics'!W31</f>
        <v>50</v>
      </c>
      <c r="K31" s="146">
        <f>'App 5 - Organics'!X31</f>
        <v>0</v>
      </c>
      <c r="L31" s="147">
        <f>'App 6 - Residual Waste'!AC31</f>
        <v>435</v>
      </c>
      <c r="M31" s="147">
        <f>'App 6 - Residual Waste'!AD31</f>
        <v>0</v>
      </c>
      <c r="N31" s="147">
        <f>'App 6 - Residual Waste'!AE31</f>
        <v>435</v>
      </c>
      <c r="O31" s="140"/>
      <c r="P31" s="147">
        <f t="shared" si="0"/>
        <v>667.48030478680778</v>
      </c>
      <c r="Q31" s="147">
        <f t="shared" si="0"/>
        <v>201.98030478680781</v>
      </c>
      <c r="R31" s="147">
        <f t="shared" si="0"/>
        <v>465.5</v>
      </c>
      <c r="S31" s="148">
        <f t="shared" si="1"/>
        <v>0.30260114543951977</v>
      </c>
      <c r="U31" s="149">
        <f>(P31*1000)/'App 1 - Services'!F31/52</f>
        <v>7.0181299657947571</v>
      </c>
      <c r="V31" s="149">
        <f>(P31*1000)/'App 1 - Services'!G31/52</f>
        <v>6.5725344124109633</v>
      </c>
      <c r="X31" s="150">
        <f t="shared" si="2"/>
        <v>0.30260114543951977</v>
      </c>
      <c r="Y31" s="151">
        <f t="shared" si="3"/>
        <v>182.48030478680781</v>
      </c>
      <c r="Z31" s="152">
        <f t="shared" si="4"/>
        <v>0.27338680029681439</v>
      </c>
      <c r="AA31" s="151">
        <f t="shared" si="5"/>
        <v>50</v>
      </c>
      <c r="AB31" s="152">
        <f t="shared" si="6"/>
        <v>7.4908577288988212E-2</v>
      </c>
      <c r="AC31" s="151">
        <f t="shared" si="7"/>
        <v>435</v>
      </c>
      <c r="AD31" s="152">
        <f t="shared" si="8"/>
        <v>0.65170462241419747</v>
      </c>
      <c r="AF31" s="146">
        <f>'[1]App 4-Recyclables'!V31+'[1]App 4-Recyclables'!AB31</f>
        <v>182.48030478680781</v>
      </c>
      <c r="AG31" s="146">
        <f>'[1]App 4-Recyclables'!W31+'[1]App 4-Recyclables'!AC31</f>
        <v>151.98030478680781</v>
      </c>
      <c r="AH31" s="146">
        <f>'[1]App 4-Recyclables'!X31+'[1]App 4-Recyclables'!AD31</f>
        <v>30.5</v>
      </c>
      <c r="AI31" s="146">
        <f>'[1]App 5-Organics'!V31+'[1]App 5-Organics'!AD31</f>
        <v>50</v>
      </c>
      <c r="AJ31" s="146">
        <f>'[1]App 5-Organics'!W31+'[1]App 5-Organics'!AE31</f>
        <v>50</v>
      </c>
      <c r="AK31" s="146">
        <f>'[1]App 5-Organics'!X31+'[1]App 5-Organics'!AF31</f>
        <v>0</v>
      </c>
      <c r="AL31" s="147">
        <f>'[1]App 6-Residual Waste'!AC31+'[1]App 6-Residual Waste'!AI31</f>
        <v>435</v>
      </c>
      <c r="AM31" s="147">
        <f>'[1]App 6-Residual Waste'!AD31+'[1]App 6-Residual Waste'!AJ31</f>
        <v>0</v>
      </c>
      <c r="AN31" s="147">
        <f>'[1]App 6-Residual Waste'!AE31+'[1]App 6-Residual Waste'!AK31</f>
        <v>435</v>
      </c>
      <c r="AO31" s="140"/>
      <c r="AP31" s="147">
        <f t="shared" si="9"/>
        <v>667.48030478680778</v>
      </c>
      <c r="AQ31" s="147">
        <f t="shared" si="9"/>
        <v>201.98030478680781</v>
      </c>
      <c r="AR31" s="147">
        <f t="shared" si="9"/>
        <v>465.5</v>
      </c>
      <c r="AS31" s="148">
        <f t="shared" si="10"/>
        <v>0.30260114543951977</v>
      </c>
    </row>
    <row r="32" spans="1:45" ht="15.75" x14ac:dyDescent="0.25">
      <c r="A32" s="8">
        <v>11720</v>
      </c>
      <c r="B32" s="8" t="s">
        <v>100</v>
      </c>
      <c r="C32" s="8" t="s">
        <v>25</v>
      </c>
      <c r="D32" s="29" t="s">
        <v>2</v>
      </c>
      <c r="E32" s="145"/>
      <c r="F32" s="146">
        <f>'App 4 - Recyclables'!V32</f>
        <v>7873.8954212568797</v>
      </c>
      <c r="G32" s="146">
        <f>'App 4 - Recyclables'!W32</f>
        <v>7427.9554212568792</v>
      </c>
      <c r="H32" s="146">
        <f>'App 4 - Recyclables'!X32</f>
        <v>445.94</v>
      </c>
      <c r="I32" s="146">
        <f>'App 5 - Organics'!V32</f>
        <v>8839.85</v>
      </c>
      <c r="J32" s="146">
        <f>'App 5 - Organics'!W32</f>
        <v>8831.2899999999991</v>
      </c>
      <c r="K32" s="146">
        <f>'App 5 - Organics'!X32</f>
        <v>8.56</v>
      </c>
      <c r="L32" s="147">
        <f>'App 6 - Residual Waste'!AC32</f>
        <v>29331.190000000002</v>
      </c>
      <c r="M32" s="147">
        <f>'App 6 - Residual Waste'!AD32</f>
        <v>129.66</v>
      </c>
      <c r="N32" s="147">
        <f>'App 6 - Residual Waste'!AE32</f>
        <v>29201.53</v>
      </c>
      <c r="O32" s="140"/>
      <c r="P32" s="147">
        <f t="shared" si="0"/>
        <v>46044.935421256887</v>
      </c>
      <c r="Q32" s="147">
        <f t="shared" si="0"/>
        <v>16388.905421256877</v>
      </c>
      <c r="R32" s="147">
        <f t="shared" si="0"/>
        <v>29656.03</v>
      </c>
      <c r="S32" s="148">
        <f t="shared" si="1"/>
        <v>0.35593285713874306</v>
      </c>
      <c r="U32" s="149">
        <f>(P32*1000)/'App 1 - Services'!F32/52</f>
        <v>14.455392571043868</v>
      </c>
      <c r="V32" s="149">
        <f>(P32*1000)/'App 1 - Services'!G32/52</f>
        <v>31.093459067766808</v>
      </c>
      <c r="X32" s="150">
        <f t="shared" si="2"/>
        <v>0.35593285713874306</v>
      </c>
      <c r="Y32" s="151">
        <f t="shared" si="3"/>
        <v>7873.8954212568797</v>
      </c>
      <c r="Z32" s="152">
        <f t="shared" si="4"/>
        <v>0.17100459256202702</v>
      </c>
      <c r="AA32" s="151">
        <f t="shared" si="5"/>
        <v>8839.85</v>
      </c>
      <c r="AB32" s="152">
        <f t="shared" si="6"/>
        <v>0.19198311213004846</v>
      </c>
      <c r="AC32" s="151">
        <f t="shared" si="7"/>
        <v>29331.190000000002</v>
      </c>
      <c r="AD32" s="152">
        <f t="shared" si="8"/>
        <v>0.63701229530792447</v>
      </c>
      <c r="AF32" s="146">
        <f>'[1]App 4-Recyclables'!V32+'[1]App 4-Recyclables'!AB32</f>
        <v>7932.1954212568799</v>
      </c>
      <c r="AG32" s="146">
        <f>'[1]App 4-Recyclables'!W32+'[1]App 4-Recyclables'!AC32</f>
        <v>7485.9554212568792</v>
      </c>
      <c r="AH32" s="146">
        <f>'[1]App 4-Recyclables'!X32+'[1]App 4-Recyclables'!AD32</f>
        <v>445.94</v>
      </c>
      <c r="AI32" s="146">
        <f>'[1]App 5-Organics'!V32+'[1]App 5-Organics'!AD32</f>
        <v>9001.0300000000007</v>
      </c>
      <c r="AJ32" s="146">
        <f>'[1]App 5-Organics'!W32+'[1]App 5-Organics'!AE32</f>
        <v>8992.2899999999991</v>
      </c>
      <c r="AK32" s="146">
        <f>'[1]App 5-Organics'!X32+'[1]App 5-Organics'!AF32</f>
        <v>8.56</v>
      </c>
      <c r="AL32" s="147">
        <f>'[1]App 6-Residual Waste'!AC32+'[1]App 6-Residual Waste'!AI32</f>
        <v>30943.210000000003</v>
      </c>
      <c r="AM32" s="147">
        <f>'[1]App 6-Residual Waste'!AD32+'[1]App 6-Residual Waste'!AJ32</f>
        <v>129.66</v>
      </c>
      <c r="AN32" s="147">
        <f>'[1]App 6-Residual Waste'!AE32+'[1]App 6-Residual Waste'!AK32</f>
        <v>30813.55</v>
      </c>
      <c r="AO32" s="140"/>
      <c r="AP32" s="147">
        <f t="shared" si="9"/>
        <v>47876.435421256887</v>
      </c>
      <c r="AQ32" s="147">
        <f t="shared" si="9"/>
        <v>16607.905421256877</v>
      </c>
      <c r="AR32" s="147">
        <f t="shared" si="9"/>
        <v>31268.05</v>
      </c>
      <c r="AS32" s="148">
        <f t="shared" si="10"/>
        <v>0.34689101799510857</v>
      </c>
    </row>
    <row r="33" spans="1:45" ht="15.75" x14ac:dyDescent="0.25">
      <c r="A33" s="8">
        <v>11730</v>
      </c>
      <c r="B33" s="8" t="s">
        <v>101</v>
      </c>
      <c r="C33" s="8" t="s">
        <v>20</v>
      </c>
      <c r="D33" s="29" t="s">
        <v>4</v>
      </c>
      <c r="E33" s="145"/>
      <c r="F33" s="146">
        <f>'App 4 - Recyclables'!V33</f>
        <v>8326.3825138253651</v>
      </c>
      <c r="G33" s="146">
        <f>'App 4 - Recyclables'!W33</f>
        <v>8122.3825138253642</v>
      </c>
      <c r="H33" s="146">
        <f>'App 4 - Recyclables'!X33</f>
        <v>204</v>
      </c>
      <c r="I33" s="146">
        <f>'App 5 - Organics'!V33</f>
        <v>10607</v>
      </c>
      <c r="J33" s="146">
        <f>'App 5 - Organics'!W33</f>
        <v>10522</v>
      </c>
      <c r="K33" s="146">
        <f>'App 5 - Organics'!X33</f>
        <v>85</v>
      </c>
      <c r="L33" s="147">
        <f>'App 6 - Residual Waste'!AC33</f>
        <v>13121.22</v>
      </c>
      <c r="M33" s="147">
        <f>'App 6 - Residual Waste'!AD33</f>
        <v>257</v>
      </c>
      <c r="N33" s="147">
        <f>'App 6 - Residual Waste'!AE33</f>
        <v>12864.22</v>
      </c>
      <c r="O33" s="140"/>
      <c r="P33" s="147">
        <f t="shared" si="0"/>
        <v>32054.602513825368</v>
      </c>
      <c r="Q33" s="147">
        <f t="shared" si="0"/>
        <v>18901.382513825363</v>
      </c>
      <c r="R33" s="147">
        <f t="shared" si="0"/>
        <v>13153.22</v>
      </c>
      <c r="S33" s="148">
        <f t="shared" si="1"/>
        <v>0.58966204636832009</v>
      </c>
      <c r="U33" s="149">
        <f>(P33*1000)/'App 1 - Services'!F33/52</f>
        <v>11.916386308281671</v>
      </c>
      <c r="V33" s="149">
        <f>(P33*1000)/'App 1 - Services'!G33/52</f>
        <v>23.008161530584161</v>
      </c>
      <c r="X33" s="150">
        <f t="shared" si="2"/>
        <v>0.58966204636832009</v>
      </c>
      <c r="Y33" s="151">
        <f t="shared" si="3"/>
        <v>8326.3825138253651</v>
      </c>
      <c r="Z33" s="152">
        <f t="shared" si="4"/>
        <v>0.25975622409400145</v>
      </c>
      <c r="AA33" s="151">
        <f t="shared" si="5"/>
        <v>10607</v>
      </c>
      <c r="AB33" s="152">
        <f t="shared" si="6"/>
        <v>0.33090411885235915</v>
      </c>
      <c r="AC33" s="151">
        <f t="shared" si="7"/>
        <v>13121.22</v>
      </c>
      <c r="AD33" s="152">
        <f t="shared" si="8"/>
        <v>0.40933965705363928</v>
      </c>
      <c r="AF33" s="146">
        <f>'[1]App 4-Recyclables'!V33+'[1]App 4-Recyclables'!AB33</f>
        <v>8326.3825138253651</v>
      </c>
      <c r="AG33" s="146">
        <f>'[1]App 4-Recyclables'!W33+'[1]App 4-Recyclables'!AC33</f>
        <v>8122.3825138253642</v>
      </c>
      <c r="AH33" s="146">
        <f>'[1]App 4-Recyclables'!X33+'[1]App 4-Recyclables'!AD33</f>
        <v>204</v>
      </c>
      <c r="AI33" s="146">
        <f>'[1]App 5-Organics'!V33+'[1]App 5-Organics'!AD33</f>
        <v>10607</v>
      </c>
      <c r="AJ33" s="146">
        <f>'[1]App 5-Organics'!W33+'[1]App 5-Organics'!AE33</f>
        <v>10522</v>
      </c>
      <c r="AK33" s="146">
        <f>'[1]App 5-Organics'!X33+'[1]App 5-Organics'!AF33</f>
        <v>85</v>
      </c>
      <c r="AL33" s="147">
        <f>'[1]App 6-Residual Waste'!AC33+'[1]App 6-Residual Waste'!AI33</f>
        <v>13121.22</v>
      </c>
      <c r="AM33" s="147">
        <f>'[1]App 6-Residual Waste'!AD33+'[1]App 6-Residual Waste'!AJ33</f>
        <v>257</v>
      </c>
      <c r="AN33" s="147">
        <f>'[1]App 6-Residual Waste'!AE33+'[1]App 6-Residual Waste'!AK33</f>
        <v>12864.22</v>
      </c>
      <c r="AO33" s="140"/>
      <c r="AP33" s="147">
        <f t="shared" si="9"/>
        <v>32054.602513825368</v>
      </c>
      <c r="AQ33" s="147">
        <f t="shared" si="9"/>
        <v>18901.382513825363</v>
      </c>
      <c r="AR33" s="147">
        <f t="shared" si="9"/>
        <v>13153.22</v>
      </c>
      <c r="AS33" s="148">
        <f t="shared" si="10"/>
        <v>0.58966204636832009</v>
      </c>
    </row>
    <row r="34" spans="1:45" ht="15.75" x14ac:dyDescent="0.25">
      <c r="A34" s="8">
        <v>11750</v>
      </c>
      <c r="B34" s="8" t="s">
        <v>102</v>
      </c>
      <c r="C34" s="8" t="s">
        <v>42</v>
      </c>
      <c r="D34" s="29" t="s">
        <v>1</v>
      </c>
      <c r="E34" s="145"/>
      <c r="F34" s="146">
        <f>'App 4 - Recyclables'!V34</f>
        <v>223.62891896978471</v>
      </c>
      <c r="G34" s="146">
        <f>'App 4 - Recyclables'!W34</f>
        <v>223.62891896978471</v>
      </c>
      <c r="H34" s="146">
        <f>'App 4 - Recyclables'!X34</f>
        <v>0</v>
      </c>
      <c r="I34" s="146">
        <f>'App 5 - Organics'!V34</f>
        <v>40</v>
      </c>
      <c r="J34" s="146">
        <f>'App 5 - Organics'!W34</f>
        <v>0</v>
      </c>
      <c r="K34" s="146">
        <f>'App 5 - Organics'!X34</f>
        <v>40</v>
      </c>
      <c r="L34" s="147">
        <f>'App 6 - Residual Waste'!AC34</f>
        <v>882</v>
      </c>
      <c r="M34" s="147">
        <f>'App 6 - Residual Waste'!AD34</f>
        <v>7</v>
      </c>
      <c r="N34" s="147">
        <f>'App 6 - Residual Waste'!AE34</f>
        <v>875</v>
      </c>
      <c r="O34" s="140"/>
      <c r="P34" s="147">
        <f t="shared" si="0"/>
        <v>1145.6289189697848</v>
      </c>
      <c r="Q34" s="147">
        <f t="shared" si="0"/>
        <v>230.62891896978471</v>
      </c>
      <c r="R34" s="147">
        <f t="shared" si="0"/>
        <v>915</v>
      </c>
      <c r="S34" s="148">
        <f t="shared" si="1"/>
        <v>0.20131206113160924</v>
      </c>
      <c r="U34" s="149">
        <f>(P34*1000)/'App 1 - Services'!F34/52</f>
        <v>4.9878481695276333</v>
      </c>
      <c r="V34" s="149">
        <f>(P34*1000)/'App 1 - Services'!G34/52</f>
        <v>7.6312176532052494</v>
      </c>
      <c r="X34" s="150">
        <f t="shared" si="2"/>
        <v>0.20131206113160924</v>
      </c>
      <c r="Y34" s="151">
        <f t="shared" si="3"/>
        <v>223.62891896978471</v>
      </c>
      <c r="Z34" s="152">
        <f t="shared" si="4"/>
        <v>0.19520188017851772</v>
      </c>
      <c r="AA34" s="151">
        <f t="shared" si="5"/>
        <v>40</v>
      </c>
      <c r="AB34" s="152">
        <f t="shared" si="6"/>
        <v>3.4915319731951507E-2</v>
      </c>
      <c r="AC34" s="151">
        <f t="shared" si="7"/>
        <v>882</v>
      </c>
      <c r="AD34" s="152">
        <f t="shared" si="8"/>
        <v>0.76988280008953069</v>
      </c>
      <c r="AF34" s="146">
        <f>'[1]App 4-Recyclables'!V34+'[1]App 4-Recyclables'!AB34</f>
        <v>223.62891896978471</v>
      </c>
      <c r="AG34" s="146">
        <f>'[1]App 4-Recyclables'!W34+'[1]App 4-Recyclables'!AC34</f>
        <v>223.62891896978471</v>
      </c>
      <c r="AH34" s="146">
        <f>'[1]App 4-Recyclables'!X34+'[1]App 4-Recyclables'!AD34</f>
        <v>0</v>
      </c>
      <c r="AI34" s="146">
        <f>'[1]App 5-Organics'!V34+'[1]App 5-Organics'!AD34</f>
        <v>40</v>
      </c>
      <c r="AJ34" s="146">
        <f>'[1]App 5-Organics'!W34+'[1]App 5-Organics'!AE34</f>
        <v>0</v>
      </c>
      <c r="AK34" s="146">
        <f>'[1]App 5-Organics'!X34+'[1]App 5-Organics'!AF34</f>
        <v>40</v>
      </c>
      <c r="AL34" s="147">
        <f>'[1]App 6-Residual Waste'!AC34+'[1]App 6-Residual Waste'!AI34</f>
        <v>882</v>
      </c>
      <c r="AM34" s="147">
        <f>'[1]App 6-Residual Waste'!AD34+'[1]App 6-Residual Waste'!AJ34</f>
        <v>7</v>
      </c>
      <c r="AN34" s="147">
        <f>'[1]App 6-Residual Waste'!AE34+'[1]App 6-Residual Waste'!AK34</f>
        <v>875</v>
      </c>
      <c r="AO34" s="140"/>
      <c r="AP34" s="147">
        <f t="shared" si="9"/>
        <v>1145.6289189697848</v>
      </c>
      <c r="AQ34" s="147">
        <f t="shared" si="9"/>
        <v>230.62891896978471</v>
      </c>
      <c r="AR34" s="147">
        <f t="shared" si="9"/>
        <v>915</v>
      </c>
      <c r="AS34" s="148">
        <f t="shared" si="10"/>
        <v>0.20131206113160924</v>
      </c>
    </row>
    <row r="35" spans="1:45" ht="15.75" x14ac:dyDescent="0.25">
      <c r="A35" s="8">
        <v>11800</v>
      </c>
      <c r="B35" s="8" t="s">
        <v>49</v>
      </c>
      <c r="C35" s="8" t="s">
        <v>43</v>
      </c>
      <c r="D35" s="29" t="s">
        <v>4</v>
      </c>
      <c r="E35" s="145"/>
      <c r="F35" s="146">
        <f>'App 4 - Recyclables'!V35</f>
        <v>11853.050432464701</v>
      </c>
      <c r="G35" s="146">
        <f>'App 4 - Recyclables'!W35</f>
        <v>10847.050432464701</v>
      </c>
      <c r="H35" s="146">
        <f>'App 4 - Recyclables'!X35</f>
        <v>1006</v>
      </c>
      <c r="I35" s="146">
        <f>'App 5 - Organics'!V35</f>
        <v>15128</v>
      </c>
      <c r="J35" s="146">
        <f>'App 5 - Organics'!W35</f>
        <v>14873</v>
      </c>
      <c r="K35" s="146">
        <f>'App 5 - Organics'!X35</f>
        <v>255</v>
      </c>
      <c r="L35" s="147">
        <f>'App 6 - Residual Waste'!AC35</f>
        <v>21378</v>
      </c>
      <c r="M35" s="147">
        <f>'App 6 - Residual Waste'!AD35</f>
        <v>979</v>
      </c>
      <c r="N35" s="147">
        <f>'App 6 - Residual Waste'!AE35</f>
        <v>20399</v>
      </c>
      <c r="O35" s="140"/>
      <c r="P35" s="147">
        <f t="shared" si="0"/>
        <v>48359.050432464704</v>
      </c>
      <c r="Q35" s="147">
        <f t="shared" si="0"/>
        <v>26699.050432464701</v>
      </c>
      <c r="R35" s="147">
        <f t="shared" si="0"/>
        <v>21660</v>
      </c>
      <c r="S35" s="148">
        <f t="shared" si="1"/>
        <v>0.55210038645715265</v>
      </c>
      <c r="U35" s="149">
        <f>(P35*1000)/'App 1 - Services'!F35/52</f>
        <v>11.976892374380018</v>
      </c>
      <c r="V35" s="149">
        <f>(P35*1000)/'App 1 - Services'!G35/52</f>
        <v>26.843173303098851</v>
      </c>
      <c r="X35" s="150">
        <f t="shared" si="2"/>
        <v>0.55210038645715265</v>
      </c>
      <c r="Y35" s="151">
        <f t="shared" si="3"/>
        <v>11853.050432464701</v>
      </c>
      <c r="Z35" s="152">
        <f t="shared" si="4"/>
        <v>0.24510511117289094</v>
      </c>
      <c r="AA35" s="151">
        <f t="shared" si="5"/>
        <v>15128</v>
      </c>
      <c r="AB35" s="152">
        <f t="shared" si="6"/>
        <v>0.31282665529437642</v>
      </c>
      <c r="AC35" s="151">
        <f t="shared" si="7"/>
        <v>21378</v>
      </c>
      <c r="AD35" s="152">
        <f t="shared" si="8"/>
        <v>0.44206823353273261</v>
      </c>
      <c r="AF35" s="146">
        <f>'[1]App 4-Recyclables'!V35+'[1]App 4-Recyclables'!AB35</f>
        <v>11853.050432464701</v>
      </c>
      <c r="AG35" s="146">
        <f>'[1]App 4-Recyclables'!W35+'[1]App 4-Recyclables'!AC35</f>
        <v>10847.050432464701</v>
      </c>
      <c r="AH35" s="146">
        <f>'[1]App 4-Recyclables'!X35+'[1]App 4-Recyclables'!AD35</f>
        <v>1006</v>
      </c>
      <c r="AI35" s="146">
        <f>'[1]App 5-Organics'!V35+'[1]App 5-Organics'!AD35</f>
        <v>15128</v>
      </c>
      <c r="AJ35" s="146">
        <f>'[1]App 5-Organics'!W35+'[1]App 5-Organics'!AE35</f>
        <v>14873</v>
      </c>
      <c r="AK35" s="146">
        <f>'[1]App 5-Organics'!X35+'[1]App 5-Organics'!AF35</f>
        <v>255</v>
      </c>
      <c r="AL35" s="147">
        <f>'[1]App 6-Residual Waste'!AC35+'[1]App 6-Residual Waste'!AI35</f>
        <v>21934</v>
      </c>
      <c r="AM35" s="147">
        <f>'[1]App 6-Residual Waste'!AD35+'[1]App 6-Residual Waste'!AJ35</f>
        <v>979</v>
      </c>
      <c r="AN35" s="147">
        <f>'[1]App 6-Residual Waste'!AE35+'[1]App 6-Residual Waste'!AK35</f>
        <v>20955</v>
      </c>
      <c r="AO35" s="140"/>
      <c r="AP35" s="147">
        <f t="shared" si="9"/>
        <v>48915.050432464704</v>
      </c>
      <c r="AQ35" s="147">
        <f t="shared" si="9"/>
        <v>26699.050432464701</v>
      </c>
      <c r="AR35" s="147">
        <f t="shared" si="9"/>
        <v>22216</v>
      </c>
      <c r="AS35" s="148">
        <f t="shared" si="10"/>
        <v>0.54582485751143495</v>
      </c>
    </row>
    <row r="36" spans="1:45" ht="15.75" x14ac:dyDescent="0.25">
      <c r="A36" s="8">
        <v>12000</v>
      </c>
      <c r="B36" s="8" t="s">
        <v>103</v>
      </c>
      <c r="C36" s="8" t="s">
        <v>22</v>
      </c>
      <c r="D36" s="29" t="s">
        <v>1</v>
      </c>
      <c r="E36" s="145"/>
      <c r="F36" s="146">
        <f>'App 4 - Recyclables'!V36</f>
        <v>910.30300043387342</v>
      </c>
      <c r="G36" s="146">
        <f>'App 4 - Recyclables'!W36</f>
        <v>896.7030004338734</v>
      </c>
      <c r="H36" s="146">
        <f>'App 4 - Recyclables'!X36</f>
        <v>13.6</v>
      </c>
      <c r="I36" s="146">
        <f>'App 5 - Organics'!V36</f>
        <v>851.2700000000001</v>
      </c>
      <c r="J36" s="146">
        <f>'App 5 - Organics'!W36</f>
        <v>851.2700000000001</v>
      </c>
      <c r="K36" s="146">
        <f>'App 5 - Organics'!X36</f>
        <v>0</v>
      </c>
      <c r="L36" s="147">
        <f>'App 6 - Residual Waste'!AC36</f>
        <v>1957.8200000000002</v>
      </c>
      <c r="M36" s="147">
        <f>'App 6 - Residual Waste'!AD36</f>
        <v>8</v>
      </c>
      <c r="N36" s="147">
        <f>'App 6 - Residual Waste'!AE36</f>
        <v>1949.8200000000002</v>
      </c>
      <c r="O36" s="140"/>
      <c r="P36" s="147">
        <f t="shared" si="0"/>
        <v>3719.3930004338736</v>
      </c>
      <c r="Q36" s="147">
        <f t="shared" si="0"/>
        <v>1755.9730004338735</v>
      </c>
      <c r="R36" s="147">
        <f t="shared" si="0"/>
        <v>1963.42</v>
      </c>
      <c r="S36" s="148">
        <f t="shared" si="1"/>
        <v>0.47211278835794879</v>
      </c>
      <c r="U36" s="149">
        <f>(P36*1000)/'App 1 - Services'!F36/52</f>
        <v>16.669025511508316</v>
      </c>
      <c r="V36" s="149">
        <f>(P36*1000)/'App 1 - Services'!G36/52</f>
        <v>23.482202386698024</v>
      </c>
      <c r="X36" s="150">
        <f t="shared" si="2"/>
        <v>0.47211278835794879</v>
      </c>
      <c r="Y36" s="151">
        <f t="shared" si="3"/>
        <v>910.30300043387342</v>
      </c>
      <c r="Z36" s="152">
        <f t="shared" si="4"/>
        <v>0.24474504316367887</v>
      </c>
      <c r="AA36" s="151">
        <f t="shared" si="5"/>
        <v>851.2700000000001</v>
      </c>
      <c r="AB36" s="152">
        <f t="shared" si="6"/>
        <v>0.22887336721360124</v>
      </c>
      <c r="AC36" s="151">
        <f t="shared" si="7"/>
        <v>1957.8200000000002</v>
      </c>
      <c r="AD36" s="152">
        <f t="shared" si="8"/>
        <v>0.52638158962271997</v>
      </c>
      <c r="AF36" s="146">
        <f>'[1]App 4-Recyclables'!V36+'[1]App 4-Recyclables'!AB36</f>
        <v>910.30300043387342</v>
      </c>
      <c r="AG36" s="146">
        <f>'[1]App 4-Recyclables'!W36+'[1]App 4-Recyclables'!AC36</f>
        <v>896.7030004338734</v>
      </c>
      <c r="AH36" s="146">
        <f>'[1]App 4-Recyclables'!X36+'[1]App 4-Recyclables'!AD36</f>
        <v>13.6</v>
      </c>
      <c r="AI36" s="146">
        <f>'[1]App 5-Organics'!V36+'[1]App 5-Organics'!AD36</f>
        <v>851.2700000000001</v>
      </c>
      <c r="AJ36" s="146">
        <f>'[1]App 5-Organics'!W36+'[1]App 5-Organics'!AE36</f>
        <v>851.2700000000001</v>
      </c>
      <c r="AK36" s="146">
        <f>'[1]App 5-Organics'!X36+'[1]App 5-Organics'!AF36</f>
        <v>0</v>
      </c>
      <c r="AL36" s="147">
        <f>'[1]App 6-Residual Waste'!AC36+'[1]App 6-Residual Waste'!AI36</f>
        <v>1957.8200000000002</v>
      </c>
      <c r="AM36" s="147">
        <f>'[1]App 6-Residual Waste'!AD36+'[1]App 6-Residual Waste'!AJ36</f>
        <v>8</v>
      </c>
      <c r="AN36" s="147">
        <f>'[1]App 6-Residual Waste'!AE36+'[1]App 6-Residual Waste'!AK36</f>
        <v>1949.8200000000002</v>
      </c>
      <c r="AO36" s="140"/>
      <c r="AP36" s="147">
        <f t="shared" si="9"/>
        <v>3719.3930004338736</v>
      </c>
      <c r="AQ36" s="147">
        <f t="shared" si="9"/>
        <v>1755.9730004338735</v>
      </c>
      <c r="AR36" s="147">
        <f t="shared" si="9"/>
        <v>1963.42</v>
      </c>
      <c r="AS36" s="148">
        <f t="shared" si="10"/>
        <v>0.47211278835794879</v>
      </c>
    </row>
    <row r="37" spans="1:45" ht="15.75" x14ac:dyDescent="0.25">
      <c r="A37" s="8">
        <v>12150</v>
      </c>
      <c r="B37" s="8" t="s">
        <v>104</v>
      </c>
      <c r="C37" s="8" t="s">
        <v>42</v>
      </c>
      <c r="D37" s="29" t="s">
        <v>1</v>
      </c>
      <c r="E37" s="145"/>
      <c r="F37" s="146">
        <f>'App 4 - Recyclables'!V37</f>
        <v>59.645558640378844</v>
      </c>
      <c r="G37" s="146">
        <f>'App 4 - Recyclables'!W37</f>
        <v>59.645558640378844</v>
      </c>
      <c r="H37" s="146">
        <f>'App 4 - Recyclables'!X37</f>
        <v>0</v>
      </c>
      <c r="I37" s="146">
        <f>'App 5 - Organics'!V37</f>
        <v>450</v>
      </c>
      <c r="J37" s="146">
        <f>'App 5 - Organics'!W37</f>
        <v>450</v>
      </c>
      <c r="K37" s="146">
        <f>'App 5 - Organics'!X37</f>
        <v>0</v>
      </c>
      <c r="L37" s="147">
        <f>'App 6 - Residual Waste'!AC37</f>
        <v>2513</v>
      </c>
      <c r="M37" s="147">
        <f>'App 6 - Residual Waste'!AD37</f>
        <v>0</v>
      </c>
      <c r="N37" s="147">
        <f>'App 6 - Residual Waste'!AE37</f>
        <v>2513</v>
      </c>
      <c r="O37" s="140"/>
      <c r="P37" s="147">
        <f t="shared" ref="P37:R68" si="11">F37+I37+L37</f>
        <v>3022.645558640379</v>
      </c>
      <c r="Q37" s="147">
        <f t="shared" si="11"/>
        <v>509.64555864037885</v>
      </c>
      <c r="R37" s="147">
        <f t="shared" si="11"/>
        <v>2513</v>
      </c>
      <c r="S37" s="148">
        <f t="shared" si="1"/>
        <v>0.16860910376459201</v>
      </c>
      <c r="U37" s="149">
        <f>(P37*1000)/'App 1 - Services'!F37/52</f>
        <v>14.877860047254332</v>
      </c>
      <c r="V37" s="149">
        <f>(P37*1000)/'App 1 - Services'!G37/52</f>
        <v>21.417759471121105</v>
      </c>
      <c r="X37" s="150">
        <f t="shared" si="2"/>
        <v>0.16860910376459201</v>
      </c>
      <c r="Y37" s="151">
        <f t="shared" si="3"/>
        <v>59.645558640378844</v>
      </c>
      <c r="Z37" s="152">
        <f t="shared" si="4"/>
        <v>1.9732898708510204E-2</v>
      </c>
      <c r="AA37" s="151">
        <f t="shared" si="5"/>
        <v>450</v>
      </c>
      <c r="AB37" s="152">
        <f t="shared" si="6"/>
        <v>0.14887620505608179</v>
      </c>
      <c r="AC37" s="151">
        <f t="shared" si="7"/>
        <v>2513</v>
      </c>
      <c r="AD37" s="152">
        <f t="shared" si="8"/>
        <v>0.83139089623540796</v>
      </c>
      <c r="AF37" s="146">
        <f>'[1]App 4-Recyclables'!V37+'[1]App 4-Recyclables'!AB37</f>
        <v>59.645558640378844</v>
      </c>
      <c r="AG37" s="146">
        <f>'[1]App 4-Recyclables'!W37+'[1]App 4-Recyclables'!AC37</f>
        <v>59.645558640378844</v>
      </c>
      <c r="AH37" s="146">
        <f>'[1]App 4-Recyclables'!X37+'[1]App 4-Recyclables'!AD37</f>
        <v>0</v>
      </c>
      <c r="AI37" s="146">
        <f>'[1]App 5-Organics'!V37+'[1]App 5-Organics'!AD37</f>
        <v>450</v>
      </c>
      <c r="AJ37" s="146">
        <f>'[1]App 5-Organics'!W37+'[1]App 5-Organics'!AE37</f>
        <v>450</v>
      </c>
      <c r="AK37" s="146">
        <f>'[1]App 5-Organics'!X37+'[1]App 5-Organics'!AF37</f>
        <v>0</v>
      </c>
      <c r="AL37" s="147">
        <f>'[1]App 6-Residual Waste'!AC37+'[1]App 6-Residual Waste'!AI37</f>
        <v>2513</v>
      </c>
      <c r="AM37" s="147">
        <f>'[1]App 6-Residual Waste'!AD37+'[1]App 6-Residual Waste'!AJ37</f>
        <v>0</v>
      </c>
      <c r="AN37" s="147">
        <f>'[1]App 6-Residual Waste'!AE37+'[1]App 6-Residual Waste'!AK37</f>
        <v>2513</v>
      </c>
      <c r="AO37" s="140"/>
      <c r="AP37" s="147">
        <f t="shared" si="9"/>
        <v>3022.645558640379</v>
      </c>
      <c r="AQ37" s="147">
        <f t="shared" si="9"/>
        <v>509.64555864037885</v>
      </c>
      <c r="AR37" s="147">
        <f t="shared" si="9"/>
        <v>2513</v>
      </c>
      <c r="AS37" s="148">
        <f t="shared" si="10"/>
        <v>0.16860910376459201</v>
      </c>
    </row>
    <row r="38" spans="1:45" ht="15.75" x14ac:dyDescent="0.25">
      <c r="A38" s="8">
        <v>12160</v>
      </c>
      <c r="B38" s="8" t="s">
        <v>105</v>
      </c>
      <c r="C38" s="8" t="s">
        <v>22</v>
      </c>
      <c r="D38" s="29" t="s">
        <v>1</v>
      </c>
      <c r="E38" s="145"/>
      <c r="F38" s="146">
        <f>'App 4 - Recyclables'!V38</f>
        <v>2361.2448837849506</v>
      </c>
      <c r="G38" s="146">
        <f>'App 4 - Recyclables'!W38</f>
        <v>2014.9448837849504</v>
      </c>
      <c r="H38" s="146">
        <f>'App 4 - Recyclables'!X38</f>
        <v>346.3</v>
      </c>
      <c r="I38" s="146">
        <f>'App 5 - Organics'!V38</f>
        <v>1573.95</v>
      </c>
      <c r="J38" s="146">
        <f>'App 5 - Organics'!W38</f>
        <v>1573.77</v>
      </c>
      <c r="K38" s="146">
        <f>'App 5 - Organics'!X38</f>
        <v>0</v>
      </c>
      <c r="L38" s="147">
        <f>'App 6 - Residual Waste'!AC38</f>
        <v>2016.96</v>
      </c>
      <c r="M38" s="147">
        <f>'App 6 - Residual Waste'!AD38</f>
        <v>0</v>
      </c>
      <c r="N38" s="147">
        <f>'App 6 - Residual Waste'!AE38</f>
        <v>2016.96</v>
      </c>
      <c r="O38" s="140"/>
      <c r="P38" s="147">
        <f t="shared" si="11"/>
        <v>5952.1548837849505</v>
      </c>
      <c r="Q38" s="147">
        <f t="shared" si="11"/>
        <v>3588.7148837849504</v>
      </c>
      <c r="R38" s="147">
        <f t="shared" si="11"/>
        <v>2363.2600000000002</v>
      </c>
      <c r="S38" s="148">
        <f t="shared" si="1"/>
        <v>0.60292699935639138</v>
      </c>
      <c r="U38" s="149">
        <f>(P38*1000)/'App 1 - Services'!F38/52</f>
        <v>10.1972843648877</v>
      </c>
      <c r="V38" s="149">
        <f>(P38*1000)/'App 1 - Services'!G38/52</f>
        <v>18.423389183303467</v>
      </c>
      <c r="X38" s="150">
        <f t="shared" si="2"/>
        <v>0.60292699935639138</v>
      </c>
      <c r="Y38" s="151">
        <f t="shared" si="3"/>
        <v>2361.2448837849506</v>
      </c>
      <c r="Z38" s="152">
        <f t="shared" si="4"/>
        <v>0.39670420711287757</v>
      </c>
      <c r="AA38" s="151">
        <f t="shared" si="5"/>
        <v>1573.95</v>
      </c>
      <c r="AB38" s="152">
        <f t="shared" si="6"/>
        <v>0.26443364306392708</v>
      </c>
      <c r="AC38" s="151">
        <f t="shared" si="7"/>
        <v>2016.96</v>
      </c>
      <c r="AD38" s="152">
        <f t="shared" si="8"/>
        <v>0.3388621498231954</v>
      </c>
      <c r="AF38" s="146">
        <f>'[1]App 4-Recyclables'!V38+'[1]App 4-Recyclables'!AB38</f>
        <v>2361.2448837849506</v>
      </c>
      <c r="AG38" s="146">
        <f>'[1]App 4-Recyclables'!W38+'[1]App 4-Recyclables'!AC38</f>
        <v>2014.9448837849504</v>
      </c>
      <c r="AH38" s="146">
        <f>'[1]App 4-Recyclables'!X38+'[1]App 4-Recyclables'!AD38</f>
        <v>346.3</v>
      </c>
      <c r="AI38" s="146">
        <f>'[1]App 5-Organics'!V38+'[1]App 5-Organics'!AD38</f>
        <v>2772.33</v>
      </c>
      <c r="AJ38" s="146">
        <f>'[1]App 5-Organics'!W38+'[1]App 5-Organics'!AE38</f>
        <v>2771.77</v>
      </c>
      <c r="AK38" s="146">
        <f>'[1]App 5-Organics'!X38+'[1]App 5-Organics'!AF38</f>
        <v>0</v>
      </c>
      <c r="AL38" s="147">
        <f>'[1]App 6-Residual Waste'!AC38+'[1]App 6-Residual Waste'!AI38</f>
        <v>2911.8</v>
      </c>
      <c r="AM38" s="147">
        <f>'[1]App 6-Residual Waste'!AD38+'[1]App 6-Residual Waste'!AJ38</f>
        <v>0</v>
      </c>
      <c r="AN38" s="147">
        <f>'[1]App 6-Residual Waste'!AE38+'[1]App 6-Residual Waste'!AK38</f>
        <v>2910.96</v>
      </c>
      <c r="AO38" s="140"/>
      <c r="AP38" s="147">
        <f t="shared" si="9"/>
        <v>8045.3748837849507</v>
      </c>
      <c r="AQ38" s="147">
        <f t="shared" si="9"/>
        <v>4786.7148837849509</v>
      </c>
      <c r="AR38" s="147">
        <f t="shared" si="9"/>
        <v>3257.26</v>
      </c>
      <c r="AS38" s="148">
        <f t="shared" si="10"/>
        <v>0.5949648031233864</v>
      </c>
    </row>
    <row r="39" spans="1:45" ht="15.75" x14ac:dyDescent="0.25">
      <c r="A39" s="8">
        <v>12350</v>
      </c>
      <c r="B39" s="8" t="s">
        <v>106</v>
      </c>
      <c r="C39" s="8" t="s">
        <v>42</v>
      </c>
      <c r="D39" s="29" t="s">
        <v>1</v>
      </c>
      <c r="E39" s="145"/>
      <c r="F39" s="146">
        <f>'App 4 - Recyclables'!V39</f>
        <v>2029.3453152215834</v>
      </c>
      <c r="G39" s="146">
        <f>'App 4 - Recyclables'!W39</f>
        <v>1569.5753152215834</v>
      </c>
      <c r="H39" s="146">
        <f>'App 4 - Recyclables'!X39</f>
        <v>459.77</v>
      </c>
      <c r="I39" s="146">
        <f>'App 5 - Organics'!V39</f>
        <v>1294.1099999999999</v>
      </c>
      <c r="J39" s="146">
        <f>'App 5 - Organics'!W39</f>
        <v>0</v>
      </c>
      <c r="K39" s="146">
        <f>'App 5 - Organics'!X39</f>
        <v>1294.1099999999999</v>
      </c>
      <c r="L39" s="147">
        <f>'App 6 - Residual Waste'!AC39</f>
        <v>4854.34</v>
      </c>
      <c r="M39" s="147">
        <f>'App 6 - Residual Waste'!AD39</f>
        <v>12.920000000000073</v>
      </c>
      <c r="N39" s="147">
        <f>'App 6 - Residual Waste'!AE39</f>
        <v>4841.42</v>
      </c>
      <c r="O39" s="140"/>
      <c r="P39" s="147">
        <f t="shared" si="11"/>
        <v>8177.7953152215832</v>
      </c>
      <c r="Q39" s="147">
        <f t="shared" si="11"/>
        <v>1582.4953152215835</v>
      </c>
      <c r="R39" s="147">
        <f t="shared" si="11"/>
        <v>6595.3</v>
      </c>
      <c r="S39" s="148">
        <f t="shared" si="1"/>
        <v>0.19351124040437109</v>
      </c>
      <c r="U39" s="149">
        <f>(P39*1000)/'App 1 - Services'!F39/52</f>
        <v>12.353911588648231</v>
      </c>
      <c r="V39" s="149">
        <f>(P39*1000)/'App 1 - Services'!G39/52</f>
        <v>29.886981095304446</v>
      </c>
      <c r="X39" s="150">
        <f t="shared" si="2"/>
        <v>0.19351124040437109</v>
      </c>
      <c r="Y39" s="151">
        <f t="shared" si="3"/>
        <v>2029.3453152215834</v>
      </c>
      <c r="Z39" s="152">
        <f t="shared" si="4"/>
        <v>0.24815310691920844</v>
      </c>
      <c r="AA39" s="151">
        <f t="shared" si="5"/>
        <v>1294.1099999999999</v>
      </c>
      <c r="AB39" s="152">
        <f t="shared" si="6"/>
        <v>0.15824680737499419</v>
      </c>
      <c r="AC39" s="151">
        <f t="shared" si="7"/>
        <v>4854.34</v>
      </c>
      <c r="AD39" s="152">
        <f t="shared" si="8"/>
        <v>0.59360008570579736</v>
      </c>
      <c r="AF39" s="146">
        <f>'[1]App 4-Recyclables'!V39+'[1]App 4-Recyclables'!AB39</f>
        <v>2029.3453152215834</v>
      </c>
      <c r="AG39" s="146">
        <f>'[1]App 4-Recyclables'!W39+'[1]App 4-Recyclables'!AC39</f>
        <v>1569.5753152215834</v>
      </c>
      <c r="AH39" s="146">
        <f>'[1]App 4-Recyclables'!X39+'[1]App 4-Recyclables'!AD39</f>
        <v>459.77</v>
      </c>
      <c r="AI39" s="146">
        <f>'[1]App 5-Organics'!V39+'[1]App 5-Organics'!AD39</f>
        <v>1294.1099999999999</v>
      </c>
      <c r="AJ39" s="146">
        <f>'[1]App 5-Organics'!W39+'[1]App 5-Organics'!AE39</f>
        <v>0</v>
      </c>
      <c r="AK39" s="146">
        <f>'[1]App 5-Organics'!X39+'[1]App 5-Organics'!AF39</f>
        <v>1294.1099999999999</v>
      </c>
      <c r="AL39" s="147">
        <f>'[1]App 6-Residual Waste'!AC39+'[1]App 6-Residual Waste'!AI39</f>
        <v>4854.34</v>
      </c>
      <c r="AM39" s="147">
        <f>'[1]App 6-Residual Waste'!AD39+'[1]App 6-Residual Waste'!AJ39</f>
        <v>12.920000000000073</v>
      </c>
      <c r="AN39" s="147">
        <f>'[1]App 6-Residual Waste'!AE39+'[1]App 6-Residual Waste'!AK39</f>
        <v>4841.42</v>
      </c>
      <c r="AO39" s="140"/>
      <c r="AP39" s="147">
        <f t="shared" si="9"/>
        <v>8177.7953152215832</v>
      </c>
      <c r="AQ39" s="147">
        <f t="shared" si="9"/>
        <v>1582.4953152215835</v>
      </c>
      <c r="AR39" s="147">
        <f t="shared" si="9"/>
        <v>6595.3</v>
      </c>
      <c r="AS39" s="148">
        <f t="shared" si="10"/>
        <v>0.19351124040437109</v>
      </c>
    </row>
    <row r="40" spans="1:45" ht="15.75" x14ac:dyDescent="0.25">
      <c r="A40" s="8">
        <v>12380</v>
      </c>
      <c r="B40" s="8" t="s">
        <v>54</v>
      </c>
      <c r="C40" s="8" t="s">
        <v>19</v>
      </c>
      <c r="D40" s="29" t="s">
        <v>3</v>
      </c>
      <c r="E40" s="145"/>
      <c r="F40" s="146">
        <f>'App 4 - Recyclables'!V40</f>
        <v>13364.789489451665</v>
      </c>
      <c r="G40" s="146">
        <f>'App 4 - Recyclables'!W40</f>
        <v>12328.349489451663</v>
      </c>
      <c r="H40" s="146">
        <f>'App 4 - Recyclables'!X40</f>
        <v>1036.44</v>
      </c>
      <c r="I40" s="146">
        <f>'App 5 - Organics'!V40</f>
        <v>9536</v>
      </c>
      <c r="J40" s="146">
        <f>'App 5 - Organics'!W40</f>
        <v>9536</v>
      </c>
      <c r="K40" s="146">
        <f>'App 5 - Organics'!X40</f>
        <v>0</v>
      </c>
      <c r="L40" s="147">
        <f>'App 6 - Residual Waste'!AC40</f>
        <v>76080.600000000006</v>
      </c>
      <c r="M40" s="147">
        <f>'App 6 - Residual Waste'!AD40</f>
        <v>18456.599999999999</v>
      </c>
      <c r="N40" s="147">
        <f>'App 6 - Residual Waste'!AE40</f>
        <v>57624</v>
      </c>
      <c r="O40" s="140"/>
      <c r="P40" s="147">
        <f t="shared" si="11"/>
        <v>98981.389489451671</v>
      </c>
      <c r="Q40" s="147">
        <f t="shared" si="11"/>
        <v>40320.949489451661</v>
      </c>
      <c r="R40" s="147">
        <f t="shared" si="11"/>
        <v>58660.44</v>
      </c>
      <c r="S40" s="148">
        <f t="shared" si="1"/>
        <v>0.40735889541890719</v>
      </c>
      <c r="U40" s="149">
        <f>(P40*1000)/'App 1 - Services'!F40/52</f>
        <v>7.8438079868981934</v>
      </c>
      <c r="V40" s="149">
        <f>(P40*1000)/'App 1 - Services'!G40/52</f>
        <v>24.898472981197283</v>
      </c>
      <c r="X40" s="150">
        <f t="shared" si="2"/>
        <v>0.40735889541890719</v>
      </c>
      <c r="Y40" s="151">
        <f t="shared" si="3"/>
        <v>13364.789489451665</v>
      </c>
      <c r="Z40" s="152">
        <f t="shared" si="4"/>
        <v>0.1350232559715272</v>
      </c>
      <c r="AA40" s="151">
        <f t="shared" si="5"/>
        <v>9536</v>
      </c>
      <c r="AB40" s="152">
        <f t="shared" si="6"/>
        <v>9.6341343046272759E-2</v>
      </c>
      <c r="AC40" s="151">
        <f t="shared" si="7"/>
        <v>76080.600000000006</v>
      </c>
      <c r="AD40" s="152">
        <f t="shared" si="8"/>
        <v>0.76863540098220007</v>
      </c>
      <c r="AF40" s="146">
        <f>'[1]App 4-Recyclables'!V40+'[1]App 4-Recyclables'!AB40</f>
        <v>13364.789489451665</v>
      </c>
      <c r="AG40" s="146">
        <f>'[1]App 4-Recyclables'!W40+'[1]App 4-Recyclables'!AC40</f>
        <v>12328.349489451663</v>
      </c>
      <c r="AH40" s="146">
        <f>'[1]App 4-Recyclables'!X40+'[1]App 4-Recyclables'!AD40</f>
        <v>1036.44</v>
      </c>
      <c r="AI40" s="146">
        <f>'[1]App 5-Organics'!V40+'[1]App 5-Organics'!AD40</f>
        <v>9536</v>
      </c>
      <c r="AJ40" s="146">
        <f>'[1]App 5-Organics'!W40+'[1]App 5-Organics'!AE40</f>
        <v>9536</v>
      </c>
      <c r="AK40" s="146">
        <f>'[1]App 5-Organics'!X40+'[1]App 5-Organics'!AF40</f>
        <v>0</v>
      </c>
      <c r="AL40" s="147">
        <f>'[1]App 6-Residual Waste'!AC40+'[1]App 6-Residual Waste'!AI40</f>
        <v>76080.600000000006</v>
      </c>
      <c r="AM40" s="147">
        <f>'[1]App 6-Residual Waste'!AD40+'[1]App 6-Residual Waste'!AJ40</f>
        <v>18456.599999999999</v>
      </c>
      <c r="AN40" s="147">
        <f>'[1]App 6-Residual Waste'!AE40+'[1]App 6-Residual Waste'!AK40</f>
        <v>57624</v>
      </c>
      <c r="AO40" s="140"/>
      <c r="AP40" s="147">
        <f t="shared" si="9"/>
        <v>98981.389489451671</v>
      </c>
      <c r="AQ40" s="147">
        <f t="shared" si="9"/>
        <v>40320.949489451661</v>
      </c>
      <c r="AR40" s="147">
        <f t="shared" si="9"/>
        <v>58660.44</v>
      </c>
      <c r="AS40" s="148">
        <f t="shared" si="10"/>
        <v>0.40735889541890719</v>
      </c>
    </row>
    <row r="41" spans="1:45" ht="15.75" x14ac:dyDescent="0.25">
      <c r="A41" s="8">
        <v>12390</v>
      </c>
      <c r="B41" s="8" t="s">
        <v>107</v>
      </c>
      <c r="C41" s="8" t="s">
        <v>42</v>
      </c>
      <c r="D41" s="29" t="s">
        <v>1</v>
      </c>
      <c r="E41" s="145"/>
      <c r="F41" s="146">
        <f>'App 4 - Recyclables'!V41</f>
        <v>5012.3755135861375</v>
      </c>
      <c r="G41" s="146">
        <f>'App 4 - Recyclables'!W41</f>
        <v>4717.485513586138</v>
      </c>
      <c r="H41" s="146">
        <f>'App 4 - Recyclables'!X41</f>
        <v>294.89</v>
      </c>
      <c r="I41" s="146">
        <f>'App 5 - Organics'!V41</f>
        <v>6906.29</v>
      </c>
      <c r="J41" s="146">
        <f>'App 5 - Organics'!W41</f>
        <v>6882.93</v>
      </c>
      <c r="K41" s="146">
        <f>'App 5 - Organics'!X41</f>
        <v>23.36</v>
      </c>
      <c r="L41" s="147">
        <f>'App 6 - Residual Waste'!AC41</f>
        <v>10845.72</v>
      </c>
      <c r="M41" s="147">
        <f>'App 6 - Residual Waste'!AD41</f>
        <v>0</v>
      </c>
      <c r="N41" s="147">
        <f>'App 6 - Residual Waste'!AE41</f>
        <v>10845.72</v>
      </c>
      <c r="O41" s="140"/>
      <c r="P41" s="147">
        <f t="shared" si="11"/>
        <v>22764.385513586138</v>
      </c>
      <c r="Q41" s="147">
        <f t="shared" si="11"/>
        <v>11600.415513586138</v>
      </c>
      <c r="R41" s="147">
        <f t="shared" si="11"/>
        <v>11163.97</v>
      </c>
      <c r="S41" s="148">
        <f t="shared" si="1"/>
        <v>0.50958614747860564</v>
      </c>
      <c r="U41" s="149">
        <f>(P41*1000)/'App 1 - Services'!F41/52</f>
        <v>8.1003745927770172</v>
      </c>
      <c r="V41" s="149">
        <f>(P41*1000)/'App 1 - Services'!G41/52</f>
        <v>19.033767151827874</v>
      </c>
      <c r="X41" s="150">
        <f t="shared" si="2"/>
        <v>0.50958614747860564</v>
      </c>
      <c r="Y41" s="151">
        <f t="shared" si="3"/>
        <v>5012.3755135861375</v>
      </c>
      <c r="Z41" s="152">
        <f t="shared" si="4"/>
        <v>0.22018496877917809</v>
      </c>
      <c r="AA41" s="151">
        <f t="shared" si="5"/>
        <v>6906.29</v>
      </c>
      <c r="AB41" s="152">
        <f t="shared" si="6"/>
        <v>0.30338134960323088</v>
      </c>
      <c r="AC41" s="151">
        <f t="shared" si="7"/>
        <v>10845.72</v>
      </c>
      <c r="AD41" s="152">
        <f t="shared" si="8"/>
        <v>0.47643368161759103</v>
      </c>
      <c r="AF41" s="146">
        <f>'[1]App 4-Recyclables'!V41+'[1]App 4-Recyclables'!AB41</f>
        <v>5012.3755135861375</v>
      </c>
      <c r="AG41" s="146">
        <f>'[1]App 4-Recyclables'!W41+'[1]App 4-Recyclables'!AC41</f>
        <v>4717.485513586138</v>
      </c>
      <c r="AH41" s="146">
        <f>'[1]App 4-Recyclables'!X41+'[1]App 4-Recyclables'!AD41</f>
        <v>294.89</v>
      </c>
      <c r="AI41" s="146">
        <f>'[1]App 5-Organics'!V41+'[1]App 5-Organics'!AD41</f>
        <v>6906.29</v>
      </c>
      <c r="AJ41" s="146">
        <f>'[1]App 5-Organics'!W41+'[1]App 5-Organics'!AE41</f>
        <v>6882.93</v>
      </c>
      <c r="AK41" s="146">
        <f>'[1]App 5-Organics'!X41+'[1]App 5-Organics'!AF41</f>
        <v>23.36</v>
      </c>
      <c r="AL41" s="147">
        <f>'[1]App 6-Residual Waste'!AC41+'[1]App 6-Residual Waste'!AI41</f>
        <v>12205.439999999999</v>
      </c>
      <c r="AM41" s="147">
        <f>'[1]App 6-Residual Waste'!AD41+'[1]App 6-Residual Waste'!AJ41</f>
        <v>0</v>
      </c>
      <c r="AN41" s="147">
        <f>'[1]App 6-Residual Waste'!AE41+'[1]App 6-Residual Waste'!AK41</f>
        <v>12205.439999999999</v>
      </c>
      <c r="AO41" s="140"/>
      <c r="AP41" s="147">
        <f t="shared" si="9"/>
        <v>24124.105513586135</v>
      </c>
      <c r="AQ41" s="147">
        <f t="shared" si="9"/>
        <v>11600.415513586138</v>
      </c>
      <c r="AR41" s="147">
        <f t="shared" si="9"/>
        <v>12523.689999999999</v>
      </c>
      <c r="AS41" s="148">
        <f t="shared" si="10"/>
        <v>0.48086406797769371</v>
      </c>
    </row>
    <row r="42" spans="1:45" ht="15.75" x14ac:dyDescent="0.25">
      <c r="A42" s="8">
        <v>12700</v>
      </c>
      <c r="B42" s="8" t="s">
        <v>108</v>
      </c>
      <c r="C42" s="8" t="s">
        <v>25</v>
      </c>
      <c r="D42" s="29" t="s">
        <v>4</v>
      </c>
      <c r="E42" s="145"/>
      <c r="F42" s="146">
        <f>'App 4 - Recyclables'!V42</f>
        <v>1917.5789420556321</v>
      </c>
      <c r="G42" s="146">
        <f>'App 4 - Recyclables'!W42</f>
        <v>1827.5989420556321</v>
      </c>
      <c r="H42" s="146">
        <f>'App 4 - Recyclables'!X42</f>
        <v>89.98</v>
      </c>
      <c r="I42" s="146">
        <f>'App 5 - Organics'!V42</f>
        <v>135</v>
      </c>
      <c r="J42" s="146">
        <f>'App 5 - Organics'!W42</f>
        <v>135</v>
      </c>
      <c r="K42" s="146">
        <f>'App 5 - Organics'!X42</f>
        <v>0</v>
      </c>
      <c r="L42" s="147">
        <f>'App 6 - Residual Waste'!AC42</f>
        <v>6727</v>
      </c>
      <c r="M42" s="147">
        <f>'App 6 - Residual Waste'!AD42</f>
        <v>31</v>
      </c>
      <c r="N42" s="147">
        <f>'App 6 - Residual Waste'!AE42</f>
        <v>6696</v>
      </c>
      <c r="O42" s="140"/>
      <c r="P42" s="147">
        <f t="shared" si="11"/>
        <v>8779.5789420556321</v>
      </c>
      <c r="Q42" s="147">
        <f t="shared" si="11"/>
        <v>1993.5989420556321</v>
      </c>
      <c r="R42" s="147">
        <f t="shared" si="11"/>
        <v>6785.98</v>
      </c>
      <c r="S42" s="148">
        <f t="shared" si="1"/>
        <v>0.22707227251024126</v>
      </c>
      <c r="U42" s="149">
        <f>(P42*1000)/'App 1 - Services'!F42/52</f>
        <v>17.470825390934696</v>
      </c>
      <c r="V42" s="149">
        <f>(P42*1000)/'App 1 - Services'!G42/52</f>
        <v>31.856237090187342</v>
      </c>
      <c r="X42" s="150">
        <f t="shared" si="2"/>
        <v>0.22707227251024126</v>
      </c>
      <c r="Y42" s="151">
        <f t="shared" si="3"/>
        <v>1917.5789420556321</v>
      </c>
      <c r="Z42" s="152">
        <f t="shared" si="4"/>
        <v>0.21841354291720216</v>
      </c>
      <c r="AA42" s="151">
        <f t="shared" si="5"/>
        <v>135</v>
      </c>
      <c r="AB42" s="152">
        <f t="shared" si="6"/>
        <v>1.5376591621419078E-2</v>
      </c>
      <c r="AC42" s="151">
        <f t="shared" si="7"/>
        <v>6727</v>
      </c>
      <c r="AD42" s="152">
        <f t="shared" si="8"/>
        <v>0.76620986546137881</v>
      </c>
      <c r="AF42" s="146">
        <f>'[1]App 4-Recyclables'!V42+'[1]App 4-Recyclables'!AB42</f>
        <v>1917.5789420556321</v>
      </c>
      <c r="AG42" s="146">
        <f>'[1]App 4-Recyclables'!W42+'[1]App 4-Recyclables'!AC42</f>
        <v>1827.5989420556321</v>
      </c>
      <c r="AH42" s="146">
        <f>'[1]App 4-Recyclables'!X42+'[1]App 4-Recyclables'!AD42</f>
        <v>89.98</v>
      </c>
      <c r="AI42" s="146">
        <f>'[1]App 5-Organics'!V42+'[1]App 5-Organics'!AD42</f>
        <v>191</v>
      </c>
      <c r="AJ42" s="146">
        <f>'[1]App 5-Organics'!W42+'[1]App 5-Organics'!AE42</f>
        <v>191</v>
      </c>
      <c r="AK42" s="146">
        <f>'[1]App 5-Organics'!X42+'[1]App 5-Organics'!AF42</f>
        <v>0</v>
      </c>
      <c r="AL42" s="147">
        <f>'[1]App 6-Residual Waste'!AC42+'[1]App 6-Residual Waste'!AI42</f>
        <v>6813</v>
      </c>
      <c r="AM42" s="147">
        <f>'[1]App 6-Residual Waste'!AD42+'[1]App 6-Residual Waste'!AJ42</f>
        <v>31</v>
      </c>
      <c r="AN42" s="147">
        <f>'[1]App 6-Residual Waste'!AE42+'[1]App 6-Residual Waste'!AK42</f>
        <v>6782</v>
      </c>
      <c r="AO42" s="140"/>
      <c r="AP42" s="147">
        <f t="shared" si="9"/>
        <v>8921.5789420556321</v>
      </c>
      <c r="AQ42" s="147">
        <f t="shared" si="9"/>
        <v>2049.5989420556321</v>
      </c>
      <c r="AR42" s="147">
        <f t="shared" si="9"/>
        <v>6871.98</v>
      </c>
      <c r="AS42" s="148">
        <f t="shared" si="10"/>
        <v>0.2297350004262117</v>
      </c>
    </row>
    <row r="43" spans="1:45" ht="15.75" x14ac:dyDescent="0.25">
      <c r="A43" s="8">
        <v>12730</v>
      </c>
      <c r="B43" s="8" t="s">
        <v>109</v>
      </c>
      <c r="C43" s="8" t="s">
        <v>73</v>
      </c>
      <c r="D43" s="29" t="s">
        <v>1</v>
      </c>
      <c r="E43" s="145"/>
      <c r="F43" s="146">
        <f>'App 4 - Recyclables'!V43</f>
        <v>856.88485112559192</v>
      </c>
      <c r="G43" s="146">
        <f>'App 4 - Recyclables'!W43</f>
        <v>827.49485112559194</v>
      </c>
      <c r="H43" s="146">
        <f>'App 4 - Recyclables'!X43</f>
        <v>29.39</v>
      </c>
      <c r="I43" s="146">
        <f>'App 5 - Organics'!V43</f>
        <v>735.48</v>
      </c>
      <c r="J43" s="146">
        <f>'App 5 - Organics'!W43</f>
        <v>0</v>
      </c>
      <c r="K43" s="146">
        <f>'App 5 - Organics'!X43</f>
        <v>735.48</v>
      </c>
      <c r="L43" s="147">
        <f>'App 6 - Residual Waste'!AC43</f>
        <v>3936.1400000000003</v>
      </c>
      <c r="M43" s="147">
        <f>'App 6 - Residual Waste'!AD43</f>
        <v>0</v>
      </c>
      <c r="N43" s="147">
        <f>'App 6 - Residual Waste'!AE43</f>
        <v>3936.1400000000003</v>
      </c>
      <c r="O43" s="140"/>
      <c r="P43" s="147">
        <f t="shared" si="11"/>
        <v>5528.5048511255918</v>
      </c>
      <c r="Q43" s="147">
        <f t="shared" si="11"/>
        <v>827.49485112559194</v>
      </c>
      <c r="R43" s="147">
        <f t="shared" si="11"/>
        <v>4701.01</v>
      </c>
      <c r="S43" s="148">
        <f t="shared" si="1"/>
        <v>0.14967787374865299</v>
      </c>
      <c r="U43" s="149">
        <f>(P43*1000)/'App 1 - Services'!F43/52</f>
        <v>11.705097543012711</v>
      </c>
      <c r="V43" s="149">
        <f>(P43*1000)/'App 1 - Services'!G43/52</f>
        <v>21.250729758781624</v>
      </c>
      <c r="X43" s="150">
        <f t="shared" si="2"/>
        <v>0.14967787374865299</v>
      </c>
      <c r="Y43" s="151">
        <f t="shared" si="3"/>
        <v>856.88485112559192</v>
      </c>
      <c r="Z43" s="152">
        <f t="shared" si="4"/>
        <v>0.15499395843907635</v>
      </c>
      <c r="AA43" s="151">
        <f t="shared" si="5"/>
        <v>735.48</v>
      </c>
      <c r="AB43" s="152">
        <f t="shared" si="6"/>
        <v>0.13303416019437114</v>
      </c>
      <c r="AC43" s="151">
        <f t="shared" si="7"/>
        <v>3936.1400000000003</v>
      </c>
      <c r="AD43" s="152">
        <f t="shared" si="8"/>
        <v>0.71197188136655254</v>
      </c>
      <c r="AF43" s="146">
        <f>'[1]App 4-Recyclables'!V43+'[1]App 4-Recyclables'!AB43</f>
        <v>856.88485112559192</v>
      </c>
      <c r="AG43" s="146">
        <f>'[1]App 4-Recyclables'!W43+'[1]App 4-Recyclables'!AC43</f>
        <v>827.49485112559194</v>
      </c>
      <c r="AH43" s="146">
        <f>'[1]App 4-Recyclables'!X43+'[1]App 4-Recyclables'!AD43</f>
        <v>29.39</v>
      </c>
      <c r="AI43" s="146">
        <f>'[1]App 5-Organics'!V43+'[1]App 5-Organics'!AD43</f>
        <v>735.48</v>
      </c>
      <c r="AJ43" s="146">
        <f>'[1]App 5-Organics'!W43+'[1]App 5-Organics'!AE43</f>
        <v>0</v>
      </c>
      <c r="AK43" s="146">
        <f>'[1]App 5-Organics'!X43+'[1]App 5-Organics'!AF43</f>
        <v>735.48</v>
      </c>
      <c r="AL43" s="147">
        <f>'[1]App 6-Residual Waste'!AC43+'[1]App 6-Residual Waste'!AI43</f>
        <v>4011.3500000000004</v>
      </c>
      <c r="AM43" s="147">
        <f>'[1]App 6-Residual Waste'!AD43+'[1]App 6-Residual Waste'!AJ43</f>
        <v>0</v>
      </c>
      <c r="AN43" s="147">
        <f>'[1]App 6-Residual Waste'!AE43+'[1]App 6-Residual Waste'!AK43</f>
        <v>4011.3500000000004</v>
      </c>
      <c r="AO43" s="140"/>
      <c r="AP43" s="147">
        <f t="shared" si="9"/>
        <v>5603.7148511255928</v>
      </c>
      <c r="AQ43" s="147">
        <f t="shared" si="9"/>
        <v>827.49485112559194</v>
      </c>
      <c r="AR43" s="147">
        <f t="shared" si="9"/>
        <v>4776.22</v>
      </c>
      <c r="AS43" s="148">
        <f t="shared" si="10"/>
        <v>0.1476689790807926</v>
      </c>
    </row>
    <row r="44" spans="1:45" ht="15.75" x14ac:dyDescent="0.25">
      <c r="A44" s="8">
        <v>12750</v>
      </c>
      <c r="B44" s="8" t="s">
        <v>110</v>
      </c>
      <c r="C44" s="8" t="s">
        <v>74</v>
      </c>
      <c r="D44" s="29" t="s">
        <v>1</v>
      </c>
      <c r="E44" s="145"/>
      <c r="F44" s="146">
        <f>'App 4 - Recyclables'!V44</f>
        <v>8131.3600690661224</v>
      </c>
      <c r="G44" s="146">
        <f>'App 4 - Recyclables'!W44</f>
        <v>7581.8000690661229</v>
      </c>
      <c r="H44" s="146">
        <f>'App 4 - Recyclables'!X44</f>
        <v>549.55999999999995</v>
      </c>
      <c r="I44" s="146">
        <f>'App 5 - Organics'!V44</f>
        <v>7761.7099999999991</v>
      </c>
      <c r="J44" s="146">
        <f>'App 5 - Organics'!W44</f>
        <v>7755.51</v>
      </c>
      <c r="K44" s="146">
        <f>'App 5 - Organics'!X44</f>
        <v>6.2</v>
      </c>
      <c r="L44" s="147">
        <f>'App 6 - Residual Waste'!AC44</f>
        <v>11819.5</v>
      </c>
      <c r="M44" s="147">
        <f>'App 6 - Residual Waste'!AD44</f>
        <v>145.49</v>
      </c>
      <c r="N44" s="147">
        <f>'App 6 - Residual Waste'!AE44</f>
        <v>11674.01</v>
      </c>
      <c r="O44" s="140"/>
      <c r="P44" s="147">
        <f t="shared" si="11"/>
        <v>27712.570069066122</v>
      </c>
      <c r="Q44" s="147">
        <f t="shared" si="11"/>
        <v>15482.800069066123</v>
      </c>
      <c r="R44" s="147">
        <f t="shared" si="11"/>
        <v>12229.77</v>
      </c>
      <c r="S44" s="148">
        <f t="shared" si="1"/>
        <v>0.55869232014495263</v>
      </c>
      <c r="U44" s="149">
        <f>(P44*1000)/'App 1 - Services'!F44/52</f>
        <v>13.681814535575402</v>
      </c>
      <c r="V44" s="149">
        <f>(P44*1000)/'App 1 - Services'!G44/52</f>
        <v>21.839768862787196</v>
      </c>
      <c r="X44" s="150">
        <f t="shared" si="2"/>
        <v>0.55869232014495263</v>
      </c>
      <c r="Y44" s="151">
        <f t="shared" si="3"/>
        <v>8131.3600690661224</v>
      </c>
      <c r="Z44" s="152">
        <f t="shared" si="4"/>
        <v>0.29341775406614745</v>
      </c>
      <c r="AA44" s="151">
        <f t="shared" si="5"/>
        <v>7761.7099999999991</v>
      </c>
      <c r="AB44" s="152">
        <f t="shared" si="6"/>
        <v>0.28007903924666772</v>
      </c>
      <c r="AC44" s="151">
        <f t="shared" si="7"/>
        <v>11819.5</v>
      </c>
      <c r="AD44" s="152">
        <f t="shared" si="8"/>
        <v>0.42650320668718483</v>
      </c>
      <c r="AF44" s="146">
        <f>'[1]App 4-Recyclables'!V44+'[1]App 4-Recyclables'!AB44</f>
        <v>8136.3600690661224</v>
      </c>
      <c r="AG44" s="146">
        <f>'[1]App 4-Recyclables'!W44+'[1]App 4-Recyclables'!AC44</f>
        <v>7586.8000690661229</v>
      </c>
      <c r="AH44" s="146">
        <f>'[1]App 4-Recyclables'!X44+'[1]App 4-Recyclables'!AD44</f>
        <v>549.55999999999995</v>
      </c>
      <c r="AI44" s="146">
        <f>'[1]App 5-Organics'!V44+'[1]App 5-Organics'!AD44</f>
        <v>8504.41</v>
      </c>
      <c r="AJ44" s="146">
        <f>'[1]App 5-Organics'!W44+'[1]App 5-Organics'!AE44</f>
        <v>8497.51</v>
      </c>
      <c r="AK44" s="146">
        <f>'[1]App 5-Organics'!X44+'[1]App 5-Organics'!AF44</f>
        <v>6.2</v>
      </c>
      <c r="AL44" s="147">
        <f>'[1]App 6-Residual Waste'!AC44+'[1]App 6-Residual Waste'!AI44</f>
        <v>15021.5</v>
      </c>
      <c r="AM44" s="147">
        <f>'[1]App 6-Residual Waste'!AD44+'[1]App 6-Residual Waste'!AJ44</f>
        <v>145.49</v>
      </c>
      <c r="AN44" s="147">
        <f>'[1]App 6-Residual Waste'!AE44+'[1]App 6-Residual Waste'!AK44</f>
        <v>14876.01</v>
      </c>
      <c r="AO44" s="140"/>
      <c r="AP44" s="147">
        <f t="shared" si="9"/>
        <v>31662.270069066122</v>
      </c>
      <c r="AQ44" s="147">
        <f t="shared" si="9"/>
        <v>16229.800069066123</v>
      </c>
      <c r="AR44" s="147">
        <f t="shared" si="9"/>
        <v>15431.77</v>
      </c>
      <c r="AS44" s="148">
        <f t="shared" si="10"/>
        <v>0.51259117030027979</v>
      </c>
    </row>
    <row r="45" spans="1:45" ht="15.75" x14ac:dyDescent="0.25">
      <c r="A45" s="8">
        <v>12850</v>
      </c>
      <c r="B45" s="8" t="s">
        <v>111</v>
      </c>
      <c r="C45" s="8" t="s">
        <v>19</v>
      </c>
      <c r="D45" s="29" t="s">
        <v>3</v>
      </c>
      <c r="E45" s="145"/>
      <c r="F45" s="146">
        <f>'App 4 - Recyclables'!V45</f>
        <v>14123.057171414428</v>
      </c>
      <c r="G45" s="146">
        <f>'App 4 - Recyclables'!W45</f>
        <v>11221.607171414429</v>
      </c>
      <c r="H45" s="146">
        <f>'App 4 - Recyclables'!X45</f>
        <v>2901.45</v>
      </c>
      <c r="I45" s="146">
        <f>'App 5 - Organics'!V45</f>
        <v>1153.98</v>
      </c>
      <c r="J45" s="146">
        <f>'App 5 - Organics'!W45</f>
        <v>1153.98</v>
      </c>
      <c r="K45" s="146">
        <f>'App 5 - Organics'!X45</f>
        <v>0</v>
      </c>
      <c r="L45" s="147">
        <f>'App 6 - Residual Waste'!AC45</f>
        <v>77353.27</v>
      </c>
      <c r="M45" s="147">
        <f>'App 6 - Residual Waste'!AD45</f>
        <v>77.989999999999995</v>
      </c>
      <c r="N45" s="147">
        <f>'App 6 - Residual Waste'!AE45</f>
        <v>77275.280000000013</v>
      </c>
      <c r="O45" s="140"/>
      <c r="P45" s="147">
        <f t="shared" si="11"/>
        <v>92630.307171414432</v>
      </c>
      <c r="Q45" s="147">
        <f t="shared" si="11"/>
        <v>12453.577171414428</v>
      </c>
      <c r="R45" s="147">
        <f t="shared" si="11"/>
        <v>80176.73000000001</v>
      </c>
      <c r="S45" s="148">
        <f t="shared" si="1"/>
        <v>0.13444387211594591</v>
      </c>
      <c r="U45" s="149">
        <f>(P45*1000)/'App 1 - Services'!F45/52</f>
        <v>8.4494346542807506</v>
      </c>
      <c r="V45" s="149">
        <f>(P45*1000)/'App 1 - Services'!G45/52</f>
        <v>28.751889421343201</v>
      </c>
      <c r="X45" s="150">
        <f t="shared" si="2"/>
        <v>0.13444387211594591</v>
      </c>
      <c r="Y45" s="151">
        <f t="shared" si="3"/>
        <v>14123.057171414428</v>
      </c>
      <c r="Z45" s="152">
        <f t="shared" si="4"/>
        <v>0.15246691501604759</v>
      </c>
      <c r="AA45" s="151">
        <f t="shared" si="5"/>
        <v>1153.98</v>
      </c>
      <c r="AB45" s="152">
        <f t="shared" si="6"/>
        <v>1.2457909675982554E-2</v>
      </c>
      <c r="AC45" s="151">
        <f t="shared" si="7"/>
        <v>77353.27</v>
      </c>
      <c r="AD45" s="152">
        <f t="shared" si="8"/>
        <v>0.83507517530796982</v>
      </c>
      <c r="AF45" s="146">
        <f>'[1]App 4-Recyclables'!V45+'[1]App 4-Recyclables'!AB45</f>
        <v>14123.057171414428</v>
      </c>
      <c r="AG45" s="146">
        <f>'[1]App 4-Recyclables'!W45+'[1]App 4-Recyclables'!AC45</f>
        <v>11221.607171414429</v>
      </c>
      <c r="AH45" s="146">
        <f>'[1]App 4-Recyclables'!X45+'[1]App 4-Recyclables'!AD45</f>
        <v>2901.45</v>
      </c>
      <c r="AI45" s="146">
        <f>'[1]App 5-Organics'!V45+'[1]App 5-Organics'!AD45</f>
        <v>1153.98</v>
      </c>
      <c r="AJ45" s="146">
        <f>'[1]App 5-Organics'!W45+'[1]App 5-Organics'!AE45</f>
        <v>1153.98</v>
      </c>
      <c r="AK45" s="146">
        <f>'[1]App 5-Organics'!X45+'[1]App 5-Organics'!AF45</f>
        <v>0</v>
      </c>
      <c r="AL45" s="147">
        <f>'[1]App 6-Residual Waste'!AC45+'[1]App 6-Residual Waste'!AI45</f>
        <v>78081.63</v>
      </c>
      <c r="AM45" s="147">
        <f>'[1]App 6-Residual Waste'!AD45+'[1]App 6-Residual Waste'!AJ45</f>
        <v>77.989999999999995</v>
      </c>
      <c r="AN45" s="147">
        <f>'[1]App 6-Residual Waste'!AE45+'[1]App 6-Residual Waste'!AK45</f>
        <v>78003.280000000013</v>
      </c>
      <c r="AO45" s="140"/>
      <c r="AP45" s="147">
        <f t="shared" si="9"/>
        <v>93358.667171414432</v>
      </c>
      <c r="AQ45" s="147">
        <f t="shared" si="9"/>
        <v>12453.577171414428</v>
      </c>
      <c r="AR45" s="147">
        <f t="shared" si="9"/>
        <v>80904.73000000001</v>
      </c>
      <c r="AS45" s="148">
        <f t="shared" si="10"/>
        <v>0.13339497605025363</v>
      </c>
    </row>
    <row r="46" spans="1:45" ht="15.75" x14ac:dyDescent="0.25">
      <c r="A46" s="8">
        <v>12870</v>
      </c>
      <c r="B46" s="8" t="s">
        <v>112</v>
      </c>
      <c r="C46" s="8" t="s">
        <v>73</v>
      </c>
      <c r="D46" s="29" t="s">
        <v>1</v>
      </c>
      <c r="E46" s="145"/>
      <c r="F46" s="146">
        <f>'App 4 - Recyclables'!V46</f>
        <v>2606.1737030864415</v>
      </c>
      <c r="G46" s="146">
        <f>'App 4 - Recyclables'!W46</f>
        <v>2562.9137030864417</v>
      </c>
      <c r="H46" s="146">
        <f>'App 4 - Recyclables'!X46</f>
        <v>43.26</v>
      </c>
      <c r="I46" s="146">
        <f>'App 5 - Organics'!V46</f>
        <v>4198</v>
      </c>
      <c r="J46" s="146">
        <f>'App 5 - Organics'!W46</f>
        <v>4198</v>
      </c>
      <c r="K46" s="146">
        <f>'App 5 - Organics'!X46</f>
        <v>0</v>
      </c>
      <c r="L46" s="147">
        <f>'App 6 - Residual Waste'!AC46</f>
        <v>2322.04</v>
      </c>
      <c r="M46" s="147">
        <f>'App 6 - Residual Waste'!AD46</f>
        <v>0</v>
      </c>
      <c r="N46" s="147">
        <f>'App 6 - Residual Waste'!AE46</f>
        <v>2322.04</v>
      </c>
      <c r="O46" s="140"/>
      <c r="P46" s="147">
        <f t="shared" si="11"/>
        <v>9126.2137030864415</v>
      </c>
      <c r="Q46" s="147">
        <f t="shared" si="11"/>
        <v>6760.9137030864422</v>
      </c>
      <c r="R46" s="147">
        <f t="shared" si="11"/>
        <v>2365.3000000000002</v>
      </c>
      <c r="S46" s="148">
        <f t="shared" si="1"/>
        <v>0.74082351378643851</v>
      </c>
      <c r="U46" s="149">
        <f>(P46*1000)/'App 1 - Services'!F46/52</f>
        <v>13.93110888035714</v>
      </c>
      <c r="V46" s="149">
        <f>(P46*1000)/'App 1 - Services'!G46/52</f>
        <v>19.332904789021729</v>
      </c>
      <c r="X46" s="150">
        <f t="shared" si="2"/>
        <v>0.74082351378643851</v>
      </c>
      <c r="Y46" s="151">
        <f t="shared" si="3"/>
        <v>2606.1737030864415</v>
      </c>
      <c r="Z46" s="152">
        <f t="shared" si="4"/>
        <v>0.28557009378435289</v>
      </c>
      <c r="AA46" s="151">
        <f t="shared" si="5"/>
        <v>4198</v>
      </c>
      <c r="AB46" s="152">
        <f t="shared" si="6"/>
        <v>0.45999361143386952</v>
      </c>
      <c r="AC46" s="151">
        <f t="shared" si="7"/>
        <v>2322.04</v>
      </c>
      <c r="AD46" s="152">
        <f t="shared" si="8"/>
        <v>0.25443629478177759</v>
      </c>
      <c r="AF46" s="146">
        <f>'[1]App 4-Recyclables'!V46+'[1]App 4-Recyclables'!AB46</f>
        <v>2606.1737030864415</v>
      </c>
      <c r="AG46" s="146">
        <f>'[1]App 4-Recyclables'!W46+'[1]App 4-Recyclables'!AC46</f>
        <v>2562.9137030864417</v>
      </c>
      <c r="AH46" s="146">
        <f>'[1]App 4-Recyclables'!X46+'[1]App 4-Recyclables'!AD46</f>
        <v>43.26</v>
      </c>
      <c r="AI46" s="146">
        <f>'[1]App 5-Organics'!V46+'[1]App 5-Organics'!AD46</f>
        <v>4198</v>
      </c>
      <c r="AJ46" s="146">
        <f>'[1]App 5-Organics'!W46+'[1]App 5-Organics'!AE46</f>
        <v>4198</v>
      </c>
      <c r="AK46" s="146">
        <f>'[1]App 5-Organics'!X46+'[1]App 5-Organics'!AF46</f>
        <v>0</v>
      </c>
      <c r="AL46" s="147">
        <f>'[1]App 6-Residual Waste'!AC46+'[1]App 6-Residual Waste'!AI46</f>
        <v>2322.04</v>
      </c>
      <c r="AM46" s="147">
        <f>'[1]App 6-Residual Waste'!AD46+'[1]App 6-Residual Waste'!AJ46</f>
        <v>0</v>
      </c>
      <c r="AN46" s="147">
        <f>'[1]App 6-Residual Waste'!AE46+'[1]App 6-Residual Waste'!AK46</f>
        <v>2322.04</v>
      </c>
      <c r="AO46" s="140"/>
      <c r="AP46" s="147">
        <f t="shared" si="9"/>
        <v>9126.2137030864415</v>
      </c>
      <c r="AQ46" s="147">
        <f t="shared" si="9"/>
        <v>6760.9137030864422</v>
      </c>
      <c r="AR46" s="147">
        <f t="shared" si="9"/>
        <v>2365.3000000000002</v>
      </c>
      <c r="AS46" s="148">
        <f t="shared" si="10"/>
        <v>0.74082351378643851</v>
      </c>
    </row>
    <row r="47" spans="1:45" ht="15.75" x14ac:dyDescent="0.25">
      <c r="A47" s="8">
        <v>12900</v>
      </c>
      <c r="B47" s="8" t="s">
        <v>113</v>
      </c>
      <c r="C47" s="8" t="s">
        <v>42</v>
      </c>
      <c r="D47" s="29" t="s">
        <v>1</v>
      </c>
      <c r="E47" s="145"/>
      <c r="F47" s="146">
        <f>'App 4 - Recyclables'!V47</f>
        <v>1316.8814779770537</v>
      </c>
      <c r="G47" s="146">
        <f>'App 4 - Recyclables'!W47</f>
        <v>1275.3714779770537</v>
      </c>
      <c r="H47" s="146">
        <f>'App 4 - Recyclables'!X47</f>
        <v>41.51</v>
      </c>
      <c r="I47" s="146">
        <f>'App 5 - Organics'!V47</f>
        <v>3889.82</v>
      </c>
      <c r="J47" s="146">
        <f>'App 5 - Organics'!W47</f>
        <v>3889.82</v>
      </c>
      <c r="K47" s="146">
        <f>'App 5 - Organics'!X47</f>
        <v>0</v>
      </c>
      <c r="L47" s="147">
        <f>'App 6 - Residual Waste'!AC47</f>
        <v>3096.57</v>
      </c>
      <c r="M47" s="147">
        <f>'App 6 - Residual Waste'!AD47</f>
        <v>25.259999999999998</v>
      </c>
      <c r="N47" s="147">
        <f>'App 6 - Residual Waste'!AE47</f>
        <v>3071.3100000000004</v>
      </c>
      <c r="O47" s="140"/>
      <c r="P47" s="147">
        <f t="shared" si="11"/>
        <v>8303.271477977054</v>
      </c>
      <c r="Q47" s="147">
        <f t="shared" si="11"/>
        <v>5190.4514779770543</v>
      </c>
      <c r="R47" s="147">
        <f t="shared" si="11"/>
        <v>3112.8200000000006</v>
      </c>
      <c r="S47" s="148">
        <f t="shared" si="1"/>
        <v>0.62510921047731616</v>
      </c>
      <c r="U47" s="149">
        <f>(P47*1000)/'App 1 - Services'!F47/52</f>
        <v>16.09660258602872</v>
      </c>
      <c r="V47" s="149">
        <f>(P47*1000)/'App 1 - Services'!G47/52</f>
        <v>37.589053119916407</v>
      </c>
      <c r="X47" s="150">
        <f t="shared" si="2"/>
        <v>0.62510921047731616</v>
      </c>
      <c r="Y47" s="151">
        <f t="shared" si="3"/>
        <v>1316.8814779770537</v>
      </c>
      <c r="Z47" s="152">
        <f t="shared" si="4"/>
        <v>0.15859790703818932</v>
      </c>
      <c r="AA47" s="151">
        <f t="shared" si="5"/>
        <v>3889.82</v>
      </c>
      <c r="AB47" s="152">
        <f t="shared" si="6"/>
        <v>0.46846836338147602</v>
      </c>
      <c r="AC47" s="151">
        <f t="shared" si="7"/>
        <v>3096.57</v>
      </c>
      <c r="AD47" s="152">
        <f t="shared" si="8"/>
        <v>0.37293372958033466</v>
      </c>
      <c r="AF47" s="146">
        <f>'[1]App 4-Recyclables'!V47+'[1]App 4-Recyclables'!AB47</f>
        <v>1316.8814779770537</v>
      </c>
      <c r="AG47" s="146">
        <f>'[1]App 4-Recyclables'!W47+'[1]App 4-Recyclables'!AC47</f>
        <v>1275.3714779770537</v>
      </c>
      <c r="AH47" s="146">
        <f>'[1]App 4-Recyclables'!X47+'[1]App 4-Recyclables'!AD47</f>
        <v>41.51</v>
      </c>
      <c r="AI47" s="146">
        <f>'[1]App 5-Organics'!V47+'[1]App 5-Organics'!AD47</f>
        <v>3889.82</v>
      </c>
      <c r="AJ47" s="146">
        <f>'[1]App 5-Organics'!W47+'[1]App 5-Organics'!AE47</f>
        <v>3889.82</v>
      </c>
      <c r="AK47" s="146">
        <f>'[1]App 5-Organics'!X47+'[1]App 5-Organics'!AF47</f>
        <v>0</v>
      </c>
      <c r="AL47" s="147">
        <f>'[1]App 6-Residual Waste'!AC47+'[1]App 6-Residual Waste'!AI47</f>
        <v>3096.57</v>
      </c>
      <c r="AM47" s="147">
        <f>'[1]App 6-Residual Waste'!AD47+'[1]App 6-Residual Waste'!AJ47</f>
        <v>25.259999999999998</v>
      </c>
      <c r="AN47" s="147">
        <f>'[1]App 6-Residual Waste'!AE47+'[1]App 6-Residual Waste'!AK47</f>
        <v>3071.3100000000004</v>
      </c>
      <c r="AO47" s="140"/>
      <c r="AP47" s="147">
        <f t="shared" si="9"/>
        <v>8303.271477977054</v>
      </c>
      <c r="AQ47" s="147">
        <f t="shared" si="9"/>
        <v>5190.4514779770543</v>
      </c>
      <c r="AR47" s="147">
        <f t="shared" si="9"/>
        <v>3112.8200000000006</v>
      </c>
      <c r="AS47" s="148">
        <f t="shared" si="10"/>
        <v>0.62510921047731616</v>
      </c>
    </row>
    <row r="48" spans="1:45" ht="15.75" x14ac:dyDescent="0.25">
      <c r="A48" s="8">
        <v>12930</v>
      </c>
      <c r="B48" s="8" t="s">
        <v>55</v>
      </c>
      <c r="C48" s="8" t="s">
        <v>18</v>
      </c>
      <c r="D48" s="29" t="s">
        <v>3</v>
      </c>
      <c r="E48" s="145"/>
      <c r="F48" s="146">
        <f>'App 4 - Recyclables'!V48</f>
        <v>11161.941416645363</v>
      </c>
      <c r="G48" s="146">
        <f>'App 4 - Recyclables'!W48</f>
        <v>9924.3014166453631</v>
      </c>
      <c r="H48" s="146">
        <f>'App 4 - Recyclables'!X48</f>
        <v>1237.6400000000001</v>
      </c>
      <c r="I48" s="146">
        <f>'App 5 - Organics'!V48</f>
        <v>12958</v>
      </c>
      <c r="J48" s="146">
        <f>'App 5 - Organics'!W48</f>
        <v>12958</v>
      </c>
      <c r="K48" s="146">
        <f>'App 5 - Organics'!X48</f>
        <v>0</v>
      </c>
      <c r="L48" s="147">
        <f>'App 6 - Residual Waste'!AC48</f>
        <v>39079.800000000003</v>
      </c>
      <c r="M48" s="147">
        <f>'App 6 - Residual Waste'!AD48</f>
        <v>2137.2799999999993</v>
      </c>
      <c r="N48" s="147">
        <f>'App 6 - Residual Waste'!AE48</f>
        <v>36942.520000000004</v>
      </c>
      <c r="O48" s="140"/>
      <c r="P48" s="147">
        <f t="shared" si="11"/>
        <v>63199.741416645367</v>
      </c>
      <c r="Q48" s="147">
        <f t="shared" si="11"/>
        <v>25019.581416645364</v>
      </c>
      <c r="R48" s="147">
        <f t="shared" si="11"/>
        <v>38180.160000000003</v>
      </c>
      <c r="S48" s="148">
        <f t="shared" si="1"/>
        <v>0.3958810725459041</v>
      </c>
      <c r="U48" s="149">
        <f>(P48*1000)/'App 1 - Services'!F48/52</f>
        <v>7.583231273259182</v>
      </c>
      <c r="V48" s="149">
        <f>(P48*1000)/'App 1 - Services'!G48/52</f>
        <v>19.836131981325515</v>
      </c>
      <c r="X48" s="150">
        <f t="shared" si="2"/>
        <v>0.3958810725459041</v>
      </c>
      <c r="Y48" s="151">
        <f t="shared" si="3"/>
        <v>11161.941416645363</v>
      </c>
      <c r="Z48" s="152">
        <f t="shared" si="4"/>
        <v>0.17661371971540318</v>
      </c>
      <c r="AA48" s="151">
        <f t="shared" si="5"/>
        <v>12958</v>
      </c>
      <c r="AB48" s="152">
        <f t="shared" si="6"/>
        <v>0.20503248446182976</v>
      </c>
      <c r="AC48" s="151">
        <f t="shared" si="7"/>
        <v>39079.800000000003</v>
      </c>
      <c r="AD48" s="152">
        <f t="shared" si="8"/>
        <v>0.61835379582276706</v>
      </c>
      <c r="AF48" s="146">
        <f>'[1]App 4-Recyclables'!V48+'[1]App 4-Recyclables'!AB48</f>
        <v>11161.941416645363</v>
      </c>
      <c r="AG48" s="146">
        <f>'[1]App 4-Recyclables'!W48+'[1]App 4-Recyclables'!AC48</f>
        <v>9924.3014166453631</v>
      </c>
      <c r="AH48" s="146">
        <f>'[1]App 4-Recyclables'!X48+'[1]App 4-Recyclables'!AD48</f>
        <v>1237.6400000000001</v>
      </c>
      <c r="AI48" s="146">
        <f>'[1]App 5-Organics'!V48+'[1]App 5-Organics'!AD48</f>
        <v>12958</v>
      </c>
      <c r="AJ48" s="146">
        <f>'[1]App 5-Organics'!W48+'[1]App 5-Organics'!AE48</f>
        <v>12958</v>
      </c>
      <c r="AK48" s="146">
        <f>'[1]App 5-Organics'!X48+'[1]App 5-Organics'!AF48</f>
        <v>0</v>
      </c>
      <c r="AL48" s="147">
        <f>'[1]App 6-Residual Waste'!AC48+'[1]App 6-Residual Waste'!AI48</f>
        <v>39079.800000000003</v>
      </c>
      <c r="AM48" s="147">
        <f>'[1]App 6-Residual Waste'!AD48+'[1]App 6-Residual Waste'!AJ48</f>
        <v>2137.2799999999993</v>
      </c>
      <c r="AN48" s="147">
        <f>'[1]App 6-Residual Waste'!AE48+'[1]App 6-Residual Waste'!AK48</f>
        <v>36942.520000000004</v>
      </c>
      <c r="AO48" s="140"/>
      <c r="AP48" s="147">
        <f t="shared" si="9"/>
        <v>63199.741416645367</v>
      </c>
      <c r="AQ48" s="147">
        <f t="shared" si="9"/>
        <v>25019.581416645364</v>
      </c>
      <c r="AR48" s="147">
        <f t="shared" si="9"/>
        <v>38180.160000000003</v>
      </c>
      <c r="AS48" s="148">
        <f t="shared" si="10"/>
        <v>0.3958810725459041</v>
      </c>
    </row>
    <row r="49" spans="1:45" ht="15.75" x14ac:dyDescent="0.25">
      <c r="A49" s="8">
        <v>12950</v>
      </c>
      <c r="B49" s="8" t="s">
        <v>114</v>
      </c>
      <c r="C49" s="8" t="s">
        <v>42</v>
      </c>
      <c r="D49" s="29" t="s">
        <v>1</v>
      </c>
      <c r="E49" s="145"/>
      <c r="F49" s="146">
        <f>'App 4 - Recyclables'!V49</f>
        <v>171.16694268711535</v>
      </c>
      <c r="G49" s="146">
        <f>'App 4 - Recyclables'!W49</f>
        <v>169.96694268711536</v>
      </c>
      <c r="H49" s="146">
        <f>'App 4 - Recyclables'!X49</f>
        <v>1.2</v>
      </c>
      <c r="I49" s="146">
        <f>'App 5 - Organics'!V49</f>
        <v>0</v>
      </c>
      <c r="J49" s="146">
        <f>'App 5 - Organics'!W49</f>
        <v>0</v>
      </c>
      <c r="K49" s="146">
        <f>'App 5 - Organics'!X49</f>
        <v>0</v>
      </c>
      <c r="L49" s="147">
        <f>'App 6 - Residual Waste'!AC49</f>
        <v>975.1</v>
      </c>
      <c r="M49" s="147">
        <f>'App 6 - Residual Waste'!AD49</f>
        <v>0</v>
      </c>
      <c r="N49" s="147">
        <f>'App 6 - Residual Waste'!AE49</f>
        <v>975.1</v>
      </c>
      <c r="O49" s="140"/>
      <c r="P49" s="147">
        <f t="shared" si="11"/>
        <v>1146.2669426871153</v>
      </c>
      <c r="Q49" s="147">
        <f t="shared" si="11"/>
        <v>169.96694268711536</v>
      </c>
      <c r="R49" s="147">
        <f t="shared" si="11"/>
        <v>976.30000000000007</v>
      </c>
      <c r="S49" s="148">
        <f t="shared" si="1"/>
        <v>0.14827867432752923</v>
      </c>
      <c r="U49" s="149">
        <f>(P49*1000)/'App 1 - Services'!F49/52</f>
        <v>5.212484050999123</v>
      </c>
      <c r="V49" s="149">
        <f>(P49*1000)/'App 1 - Services'!G49/52</f>
        <v>9.1277826300932894</v>
      </c>
      <c r="X49" s="150">
        <f t="shared" si="2"/>
        <v>0.14827867432752923</v>
      </c>
      <c r="Y49" s="151">
        <f t="shared" si="3"/>
        <v>171.16694268711535</v>
      </c>
      <c r="Z49" s="152">
        <f t="shared" si="4"/>
        <v>0.14932555089293631</v>
      </c>
      <c r="AA49" s="151">
        <f t="shared" si="5"/>
        <v>0</v>
      </c>
      <c r="AB49" s="152">
        <f t="shared" si="6"/>
        <v>0</v>
      </c>
      <c r="AC49" s="151">
        <f t="shared" si="7"/>
        <v>975.1</v>
      </c>
      <c r="AD49" s="152">
        <f t="shared" si="8"/>
        <v>0.8506744491070638</v>
      </c>
      <c r="AF49" s="146">
        <f>'[1]App 4-Recyclables'!V49+'[1]App 4-Recyclables'!AB49</f>
        <v>171.16694268711535</v>
      </c>
      <c r="AG49" s="146">
        <f>'[1]App 4-Recyclables'!W49+'[1]App 4-Recyclables'!AC49</f>
        <v>169.96694268711536</v>
      </c>
      <c r="AH49" s="146">
        <f>'[1]App 4-Recyclables'!X49+'[1]App 4-Recyclables'!AD49</f>
        <v>1.2</v>
      </c>
      <c r="AI49" s="146">
        <f>'[1]App 5-Organics'!V49+'[1]App 5-Organics'!AD49</f>
        <v>0</v>
      </c>
      <c r="AJ49" s="146">
        <f>'[1]App 5-Organics'!W49+'[1]App 5-Organics'!AE49</f>
        <v>0</v>
      </c>
      <c r="AK49" s="146">
        <f>'[1]App 5-Organics'!X49+'[1]App 5-Organics'!AF49</f>
        <v>0</v>
      </c>
      <c r="AL49" s="147">
        <f>'[1]App 6-Residual Waste'!AC49+'[1]App 6-Residual Waste'!AI49</f>
        <v>975.1</v>
      </c>
      <c r="AM49" s="147">
        <f>'[1]App 6-Residual Waste'!AD49+'[1]App 6-Residual Waste'!AJ49</f>
        <v>0</v>
      </c>
      <c r="AN49" s="147">
        <f>'[1]App 6-Residual Waste'!AE49+'[1]App 6-Residual Waste'!AK49</f>
        <v>975.1</v>
      </c>
      <c r="AO49" s="140"/>
      <c r="AP49" s="147">
        <f t="shared" si="9"/>
        <v>1146.2669426871153</v>
      </c>
      <c r="AQ49" s="147">
        <f t="shared" si="9"/>
        <v>169.96694268711536</v>
      </c>
      <c r="AR49" s="147">
        <f t="shared" si="9"/>
        <v>976.30000000000007</v>
      </c>
      <c r="AS49" s="148">
        <f t="shared" si="10"/>
        <v>0.14827867432752923</v>
      </c>
    </row>
    <row r="50" spans="1:45" ht="15.75" x14ac:dyDescent="0.25">
      <c r="A50" s="8">
        <v>13010</v>
      </c>
      <c r="B50" s="8" t="s">
        <v>115</v>
      </c>
      <c r="C50" s="8" t="s">
        <v>17</v>
      </c>
      <c r="D50" s="29" t="s">
        <v>1</v>
      </c>
      <c r="E50" s="145"/>
      <c r="F50" s="146">
        <f>'App 4 - Recyclables'!V50</f>
        <v>2268.4799538655166</v>
      </c>
      <c r="G50" s="146">
        <f>'App 4 - Recyclables'!W50</f>
        <v>2249.1999538655164</v>
      </c>
      <c r="H50" s="146">
        <f>'App 4 - Recyclables'!X50</f>
        <v>19.28</v>
      </c>
      <c r="I50" s="146">
        <f>'App 5 - Organics'!V50</f>
        <v>635.53</v>
      </c>
      <c r="J50" s="146">
        <f>'App 5 - Organics'!W50</f>
        <v>0</v>
      </c>
      <c r="K50" s="146">
        <f>'App 5 - Organics'!X50</f>
        <v>635.53</v>
      </c>
      <c r="L50" s="147">
        <f>'App 6 - Residual Waste'!AC50</f>
        <v>2853.77</v>
      </c>
      <c r="M50" s="147">
        <f>'App 6 - Residual Waste'!AD50</f>
        <v>0</v>
      </c>
      <c r="N50" s="147">
        <f>'App 6 - Residual Waste'!AE50</f>
        <v>2853.77</v>
      </c>
      <c r="O50" s="140"/>
      <c r="P50" s="147">
        <f t="shared" si="11"/>
        <v>5757.7799538655163</v>
      </c>
      <c r="Q50" s="147">
        <f t="shared" si="11"/>
        <v>2249.1999538655164</v>
      </c>
      <c r="R50" s="147">
        <f t="shared" si="11"/>
        <v>3508.58</v>
      </c>
      <c r="S50" s="148">
        <f t="shared" si="1"/>
        <v>0.39063666411140008</v>
      </c>
      <c r="U50" s="149">
        <f>(P50*1000)/'App 1 - Services'!F50/52</f>
        <v>12.479041764266523</v>
      </c>
      <c r="V50" s="149">
        <f>(P50*1000)/'App 1 - Services'!G50/52</f>
        <v>20.399141041698019</v>
      </c>
      <c r="X50" s="150">
        <f t="shared" si="2"/>
        <v>0.39063666411140008</v>
      </c>
      <c r="Y50" s="151">
        <f t="shared" si="3"/>
        <v>2268.4799538655166</v>
      </c>
      <c r="Z50" s="152">
        <f t="shared" si="4"/>
        <v>0.39398517693309215</v>
      </c>
      <c r="AA50" s="151">
        <f t="shared" si="5"/>
        <v>635.53</v>
      </c>
      <c r="AB50" s="152">
        <f t="shared" si="6"/>
        <v>0.11037761169968531</v>
      </c>
      <c r="AC50" s="151">
        <f t="shared" si="7"/>
        <v>2853.77</v>
      </c>
      <c r="AD50" s="152">
        <f t="shared" si="8"/>
        <v>0.49563721136722261</v>
      </c>
      <c r="AF50" s="146">
        <f>'[1]App 4-Recyclables'!V50+'[1]App 4-Recyclables'!AB50</f>
        <v>2268.4799538655166</v>
      </c>
      <c r="AG50" s="146">
        <f>'[1]App 4-Recyclables'!W50+'[1]App 4-Recyclables'!AC50</f>
        <v>2249.1999538655164</v>
      </c>
      <c r="AH50" s="146">
        <f>'[1]App 4-Recyclables'!X50+'[1]App 4-Recyclables'!AD50</f>
        <v>19.28</v>
      </c>
      <c r="AI50" s="146">
        <f>'[1]App 5-Organics'!V50+'[1]App 5-Organics'!AD50</f>
        <v>635.53</v>
      </c>
      <c r="AJ50" s="146">
        <f>'[1]App 5-Organics'!W50+'[1]App 5-Organics'!AE50</f>
        <v>0</v>
      </c>
      <c r="AK50" s="146">
        <f>'[1]App 5-Organics'!X50+'[1]App 5-Organics'!AF50</f>
        <v>635.53</v>
      </c>
      <c r="AL50" s="147">
        <f>'[1]App 6-Residual Waste'!AC50+'[1]App 6-Residual Waste'!AI50</f>
        <v>2853.77</v>
      </c>
      <c r="AM50" s="147">
        <f>'[1]App 6-Residual Waste'!AD50+'[1]App 6-Residual Waste'!AJ50</f>
        <v>0</v>
      </c>
      <c r="AN50" s="147">
        <f>'[1]App 6-Residual Waste'!AE50+'[1]App 6-Residual Waste'!AK50</f>
        <v>2853.77</v>
      </c>
      <c r="AO50" s="140"/>
      <c r="AP50" s="147">
        <f t="shared" si="9"/>
        <v>5757.7799538655163</v>
      </c>
      <c r="AQ50" s="147">
        <f t="shared" si="9"/>
        <v>2249.1999538655164</v>
      </c>
      <c r="AR50" s="147">
        <f t="shared" si="9"/>
        <v>3508.58</v>
      </c>
      <c r="AS50" s="148">
        <f t="shared" si="10"/>
        <v>0.39063666411140008</v>
      </c>
    </row>
    <row r="51" spans="1:45" ht="15.75" x14ac:dyDescent="0.25">
      <c r="A51" s="8">
        <v>13310</v>
      </c>
      <c r="B51" s="8" t="s">
        <v>116</v>
      </c>
      <c r="C51" s="8" t="s">
        <v>74</v>
      </c>
      <c r="D51" s="29" t="s">
        <v>1</v>
      </c>
      <c r="E51" s="145"/>
      <c r="F51" s="146">
        <f>'App 4 - Recyclables'!V51</f>
        <v>4940.8198546390458</v>
      </c>
      <c r="G51" s="146">
        <f>'App 4 - Recyclables'!W51</f>
        <v>3285.8198546390458</v>
      </c>
      <c r="H51" s="146">
        <f>'App 4 - Recyclables'!X51</f>
        <v>1655</v>
      </c>
      <c r="I51" s="146">
        <f>'App 5 - Organics'!V51</f>
        <v>2986.8</v>
      </c>
      <c r="J51" s="146">
        <f>'App 5 - Organics'!W51</f>
        <v>2927.04</v>
      </c>
      <c r="K51" s="146">
        <f>'App 5 - Organics'!X51</f>
        <v>59.76</v>
      </c>
      <c r="L51" s="147">
        <f>'App 6 - Residual Waste'!AC51</f>
        <v>15828.869999999999</v>
      </c>
      <c r="M51" s="147">
        <f>'App 6 - Residual Waste'!AD51</f>
        <v>145</v>
      </c>
      <c r="N51" s="147">
        <f>'App 6 - Residual Waste'!AE51</f>
        <v>15683.869999999999</v>
      </c>
      <c r="O51" s="140"/>
      <c r="P51" s="147">
        <f t="shared" si="11"/>
        <v>23756.489854639047</v>
      </c>
      <c r="Q51" s="147">
        <f t="shared" si="11"/>
        <v>6357.8598546390458</v>
      </c>
      <c r="R51" s="147">
        <f t="shared" si="11"/>
        <v>17398.629999999997</v>
      </c>
      <c r="S51" s="148">
        <f t="shared" si="1"/>
        <v>0.26762623154941872</v>
      </c>
      <c r="U51" s="149">
        <f>(P51*1000)/'App 1 - Services'!F51/52</f>
        <v>14.478531220373771</v>
      </c>
      <c r="V51" s="149">
        <f>(P51*1000)/'App 1 - Services'!G51/52</f>
        <v>27.257059490941707</v>
      </c>
      <c r="X51" s="150">
        <f t="shared" si="2"/>
        <v>0.26762623154941872</v>
      </c>
      <c r="Y51" s="151">
        <f t="shared" si="3"/>
        <v>4940.8198546390458</v>
      </c>
      <c r="Z51" s="152">
        <f t="shared" si="4"/>
        <v>0.20797768882822676</v>
      </c>
      <c r="AA51" s="151">
        <f t="shared" si="5"/>
        <v>2986.8</v>
      </c>
      <c r="AB51" s="152">
        <f t="shared" si="6"/>
        <v>0.12572564458283189</v>
      </c>
      <c r="AC51" s="151">
        <f t="shared" si="7"/>
        <v>15828.869999999999</v>
      </c>
      <c r="AD51" s="152">
        <f t="shared" si="8"/>
        <v>0.66629666658894127</v>
      </c>
      <c r="AF51" s="146">
        <f>'[1]App 4-Recyclables'!V51+'[1]App 4-Recyclables'!AB51</f>
        <v>4940.8198546390458</v>
      </c>
      <c r="AG51" s="146">
        <f>'[1]App 4-Recyclables'!W51+'[1]App 4-Recyclables'!AC51</f>
        <v>3285.8198546390458</v>
      </c>
      <c r="AH51" s="146">
        <f>'[1]App 4-Recyclables'!X51+'[1]App 4-Recyclables'!AD51</f>
        <v>1655</v>
      </c>
      <c r="AI51" s="146">
        <f>'[1]App 5-Organics'!V51+'[1]App 5-Organics'!AD51</f>
        <v>2986.8</v>
      </c>
      <c r="AJ51" s="146">
        <f>'[1]App 5-Organics'!W51+'[1]App 5-Organics'!AE51</f>
        <v>2927.04</v>
      </c>
      <c r="AK51" s="146">
        <f>'[1]App 5-Organics'!X51+'[1]App 5-Organics'!AF51</f>
        <v>59.76</v>
      </c>
      <c r="AL51" s="147">
        <f>'[1]App 6-Residual Waste'!AC51+'[1]App 6-Residual Waste'!AI51</f>
        <v>16398.87</v>
      </c>
      <c r="AM51" s="147">
        <f>'[1]App 6-Residual Waste'!AD51+'[1]App 6-Residual Waste'!AJ51</f>
        <v>145</v>
      </c>
      <c r="AN51" s="147">
        <f>'[1]App 6-Residual Waste'!AE51+'[1]App 6-Residual Waste'!AK51</f>
        <v>16253.869999999999</v>
      </c>
      <c r="AO51" s="140"/>
      <c r="AP51" s="147">
        <f t="shared" si="9"/>
        <v>24326.489854639047</v>
      </c>
      <c r="AQ51" s="147">
        <f t="shared" si="9"/>
        <v>6357.8598546390458</v>
      </c>
      <c r="AR51" s="147">
        <f t="shared" si="9"/>
        <v>17968.629999999997</v>
      </c>
      <c r="AS51" s="148">
        <f t="shared" si="10"/>
        <v>0.2613554151309917</v>
      </c>
    </row>
    <row r="52" spans="1:45" ht="15.75" x14ac:dyDescent="0.25">
      <c r="A52" s="8">
        <v>13340</v>
      </c>
      <c r="B52" s="8" t="s">
        <v>117</v>
      </c>
      <c r="C52" s="8" t="s">
        <v>22</v>
      </c>
      <c r="D52" s="29" t="s">
        <v>1</v>
      </c>
      <c r="E52" s="145"/>
      <c r="F52" s="146">
        <f>'App 4 - Recyclables'!V52</f>
        <v>1971.5923144697013</v>
      </c>
      <c r="G52" s="146">
        <f>'App 4 - Recyclables'!W52</f>
        <v>1947.6323144697012</v>
      </c>
      <c r="H52" s="146">
        <f>'App 4 - Recyclables'!X52</f>
        <v>23.96</v>
      </c>
      <c r="I52" s="146">
        <f>'App 5 - Organics'!V52</f>
        <v>560</v>
      </c>
      <c r="J52" s="146">
        <f>'App 5 - Organics'!W52</f>
        <v>560</v>
      </c>
      <c r="K52" s="146">
        <f>'App 5 - Organics'!X52</f>
        <v>0</v>
      </c>
      <c r="L52" s="147">
        <f>'App 6 - Residual Waste'!AC52</f>
        <v>4438.5</v>
      </c>
      <c r="M52" s="147">
        <f>'App 6 - Residual Waste'!AD52</f>
        <v>6.5</v>
      </c>
      <c r="N52" s="147">
        <f>'App 6 - Residual Waste'!AE52</f>
        <v>4432</v>
      </c>
      <c r="O52" s="140"/>
      <c r="P52" s="147">
        <f t="shared" si="11"/>
        <v>6970.0923144697008</v>
      </c>
      <c r="Q52" s="147">
        <f t="shared" si="11"/>
        <v>2514.1323144697012</v>
      </c>
      <c r="R52" s="147">
        <f t="shared" si="11"/>
        <v>4455.96</v>
      </c>
      <c r="S52" s="148">
        <f t="shared" si="1"/>
        <v>0.36070287178986693</v>
      </c>
      <c r="U52" s="149">
        <f>(P52*1000)/'App 1 - Services'!F52/52</f>
        <v>12.364194891313073</v>
      </c>
      <c r="V52" s="149">
        <f>(P52*1000)/'App 1 - Services'!G52/52</f>
        <v>20.03590983807549</v>
      </c>
      <c r="X52" s="150">
        <f t="shared" si="2"/>
        <v>0.36070287178986693</v>
      </c>
      <c r="Y52" s="151">
        <f t="shared" si="3"/>
        <v>1971.5923144697013</v>
      </c>
      <c r="Z52" s="152">
        <f t="shared" si="4"/>
        <v>0.28286459138808467</v>
      </c>
      <c r="AA52" s="151">
        <f t="shared" si="5"/>
        <v>560</v>
      </c>
      <c r="AB52" s="152">
        <f t="shared" si="6"/>
        <v>8.034326874515807E-2</v>
      </c>
      <c r="AC52" s="151">
        <f t="shared" si="7"/>
        <v>4438.5</v>
      </c>
      <c r="AD52" s="152">
        <f t="shared" si="8"/>
        <v>0.63679213986675731</v>
      </c>
      <c r="AF52" s="146">
        <f>'[1]App 4-Recyclables'!V52+'[1]App 4-Recyclables'!AB52</f>
        <v>1971.5923144697013</v>
      </c>
      <c r="AG52" s="146">
        <f>'[1]App 4-Recyclables'!W52+'[1]App 4-Recyclables'!AC52</f>
        <v>1947.6323144697012</v>
      </c>
      <c r="AH52" s="146">
        <f>'[1]App 4-Recyclables'!X52+'[1]App 4-Recyclables'!AD52</f>
        <v>23.96</v>
      </c>
      <c r="AI52" s="146">
        <f>'[1]App 5-Organics'!V52+'[1]App 5-Organics'!AD52</f>
        <v>1160</v>
      </c>
      <c r="AJ52" s="146">
        <f>'[1]App 5-Organics'!W52+'[1]App 5-Organics'!AE52</f>
        <v>560</v>
      </c>
      <c r="AK52" s="146">
        <f>'[1]App 5-Organics'!X52+'[1]App 5-Organics'!AF52</f>
        <v>600</v>
      </c>
      <c r="AL52" s="147">
        <f>'[1]App 6-Residual Waste'!AC52+'[1]App 6-Residual Waste'!AI52</f>
        <v>4638.5</v>
      </c>
      <c r="AM52" s="147">
        <f>'[1]App 6-Residual Waste'!AD52+'[1]App 6-Residual Waste'!AJ52</f>
        <v>6.5</v>
      </c>
      <c r="AN52" s="147">
        <f>'[1]App 6-Residual Waste'!AE52+'[1]App 6-Residual Waste'!AK52</f>
        <v>4632</v>
      </c>
      <c r="AO52" s="140"/>
      <c r="AP52" s="147">
        <f t="shared" si="9"/>
        <v>7770.0923144697008</v>
      </c>
      <c r="AQ52" s="147">
        <f t="shared" si="9"/>
        <v>2514.1323144697012</v>
      </c>
      <c r="AR52" s="147">
        <f t="shared" si="9"/>
        <v>5255.96</v>
      </c>
      <c r="AS52" s="148">
        <f t="shared" si="10"/>
        <v>0.32356530819946733</v>
      </c>
    </row>
    <row r="53" spans="1:45" ht="15.75" x14ac:dyDescent="0.25">
      <c r="A53" s="8">
        <v>13450</v>
      </c>
      <c r="B53" s="8" t="s">
        <v>118</v>
      </c>
      <c r="C53" s="8" t="s">
        <v>75</v>
      </c>
      <c r="D53" s="29" t="s">
        <v>1</v>
      </c>
      <c r="E53" s="145"/>
      <c r="F53" s="146">
        <f>'App 4 - Recyclables'!V53</f>
        <v>2343.283211758212</v>
      </c>
      <c r="G53" s="146">
        <f>'App 4 - Recyclables'!W53</f>
        <v>2296.9032117582119</v>
      </c>
      <c r="H53" s="146">
        <f>'App 4 - Recyclables'!X53</f>
        <v>46.38</v>
      </c>
      <c r="I53" s="146">
        <f>'App 5 - Organics'!V53</f>
        <v>0</v>
      </c>
      <c r="J53" s="146">
        <f>'App 5 - Organics'!W53</f>
        <v>0</v>
      </c>
      <c r="K53" s="146">
        <f>'App 5 - Organics'!X53</f>
        <v>0</v>
      </c>
      <c r="L53" s="147">
        <f>'App 6 - Residual Waste'!AC53</f>
        <v>9651</v>
      </c>
      <c r="M53" s="147">
        <f>'App 6 - Residual Waste'!AD53</f>
        <v>15</v>
      </c>
      <c r="N53" s="147">
        <f>'App 6 - Residual Waste'!AE53</f>
        <v>9636</v>
      </c>
      <c r="O53" s="140"/>
      <c r="P53" s="147">
        <f t="shared" si="11"/>
        <v>11994.283211758211</v>
      </c>
      <c r="Q53" s="147">
        <f t="shared" si="11"/>
        <v>2311.9032117582119</v>
      </c>
      <c r="R53" s="147">
        <f t="shared" si="11"/>
        <v>9682.3799999999992</v>
      </c>
      <c r="S53" s="148">
        <f t="shared" si="1"/>
        <v>0.19275042709445211</v>
      </c>
      <c r="U53" s="149">
        <f>(P53*1000)/'App 1 - Services'!F53/52</f>
        <v>8.4941739102858307</v>
      </c>
      <c r="V53" s="149">
        <f>(P53*1000)/'App 1 - Services'!G53/52</f>
        <v>16.89440361340451</v>
      </c>
      <c r="X53" s="150">
        <f t="shared" si="2"/>
        <v>0.19275042709445211</v>
      </c>
      <c r="Y53" s="151">
        <f t="shared" si="3"/>
        <v>2343.283211758212</v>
      </c>
      <c r="Z53" s="152">
        <f t="shared" si="4"/>
        <v>0.1953666734716627</v>
      </c>
      <c r="AA53" s="151">
        <f t="shared" si="5"/>
        <v>0</v>
      </c>
      <c r="AB53" s="152">
        <f t="shared" si="6"/>
        <v>0</v>
      </c>
      <c r="AC53" s="151">
        <f t="shared" si="7"/>
        <v>9651</v>
      </c>
      <c r="AD53" s="152">
        <f t="shared" si="8"/>
        <v>0.80463332652833741</v>
      </c>
      <c r="AF53" s="146">
        <f>'[1]App 4-Recyclables'!V53+'[1]App 4-Recyclables'!AB53</f>
        <v>2343.283211758212</v>
      </c>
      <c r="AG53" s="146">
        <f>'[1]App 4-Recyclables'!W53+'[1]App 4-Recyclables'!AC53</f>
        <v>2296.9032117582119</v>
      </c>
      <c r="AH53" s="146">
        <f>'[1]App 4-Recyclables'!X53+'[1]App 4-Recyclables'!AD53</f>
        <v>46.38</v>
      </c>
      <c r="AI53" s="146">
        <f>'[1]App 5-Organics'!V53+'[1]App 5-Organics'!AD53</f>
        <v>0</v>
      </c>
      <c r="AJ53" s="146">
        <f>'[1]App 5-Organics'!W53+'[1]App 5-Organics'!AE53</f>
        <v>0</v>
      </c>
      <c r="AK53" s="146">
        <f>'[1]App 5-Organics'!X53+'[1]App 5-Organics'!AF53</f>
        <v>0</v>
      </c>
      <c r="AL53" s="147">
        <f>'[1]App 6-Residual Waste'!AC53+'[1]App 6-Residual Waste'!AI53</f>
        <v>9651</v>
      </c>
      <c r="AM53" s="147">
        <f>'[1]App 6-Residual Waste'!AD53+'[1]App 6-Residual Waste'!AJ53</f>
        <v>15</v>
      </c>
      <c r="AN53" s="147">
        <f>'[1]App 6-Residual Waste'!AE53+'[1]App 6-Residual Waste'!AK53</f>
        <v>9636</v>
      </c>
      <c r="AO53" s="140"/>
      <c r="AP53" s="147">
        <f t="shared" si="9"/>
        <v>11994.283211758211</v>
      </c>
      <c r="AQ53" s="147">
        <f t="shared" si="9"/>
        <v>2311.9032117582119</v>
      </c>
      <c r="AR53" s="147">
        <f t="shared" si="9"/>
        <v>9682.3799999999992</v>
      </c>
      <c r="AS53" s="148">
        <f t="shared" si="10"/>
        <v>0.19275042709445211</v>
      </c>
    </row>
    <row r="54" spans="1:45" ht="15.75" x14ac:dyDescent="0.25">
      <c r="A54" s="8">
        <v>13550</v>
      </c>
      <c r="B54" s="8" t="s">
        <v>77</v>
      </c>
      <c r="C54" s="8" t="s">
        <v>17</v>
      </c>
      <c r="D54" s="29" t="s">
        <v>1</v>
      </c>
      <c r="E54" s="145"/>
      <c r="F54" s="146">
        <f>'App 4 - Recyclables'!V54</f>
        <v>3206.3208126256923</v>
      </c>
      <c r="G54" s="146">
        <f>'App 4 - Recyclables'!W54</f>
        <v>3013.6608126256924</v>
      </c>
      <c r="H54" s="146">
        <f>'App 4 - Recyclables'!X54</f>
        <v>192.66000000000003</v>
      </c>
      <c r="I54" s="146">
        <f>'App 5 - Organics'!V54</f>
        <v>2250.5</v>
      </c>
      <c r="J54" s="146">
        <f>'App 5 - Organics'!W54</f>
        <v>2172</v>
      </c>
      <c r="K54" s="146">
        <f>'App 5 - Organics'!X54</f>
        <v>78.5</v>
      </c>
      <c r="L54" s="147">
        <f>'App 6 - Residual Waste'!AC54</f>
        <v>4842.95</v>
      </c>
      <c r="M54" s="147">
        <f>'App 6 - Residual Waste'!AD54</f>
        <v>25.990000000000002</v>
      </c>
      <c r="N54" s="147">
        <f>'App 6 - Residual Waste'!AE54</f>
        <v>4816.96</v>
      </c>
      <c r="O54" s="140"/>
      <c r="P54" s="147">
        <f t="shared" si="11"/>
        <v>10299.770812625691</v>
      </c>
      <c r="Q54" s="147">
        <f t="shared" si="11"/>
        <v>5211.6508126256922</v>
      </c>
      <c r="R54" s="147">
        <f t="shared" si="11"/>
        <v>5088.12</v>
      </c>
      <c r="S54" s="148">
        <f t="shared" si="1"/>
        <v>0.50599677482504113</v>
      </c>
      <c r="U54" s="149">
        <f>(P54*1000)/'App 1 - Services'!F54/52</f>
        <v>15.608551270876054</v>
      </c>
      <c r="V54" s="149">
        <f>(P54*1000)/'App 1 - Services'!G54/52</f>
        <v>41.23074846532414</v>
      </c>
      <c r="X54" s="150">
        <f t="shared" si="2"/>
        <v>0.50599677482504113</v>
      </c>
      <c r="Y54" s="151">
        <f t="shared" si="3"/>
        <v>3206.3208126256923</v>
      </c>
      <c r="Z54" s="152">
        <f t="shared" si="4"/>
        <v>0.31130020958284937</v>
      </c>
      <c r="AA54" s="151">
        <f t="shared" si="5"/>
        <v>2250.5</v>
      </c>
      <c r="AB54" s="152">
        <f t="shared" si="6"/>
        <v>0.2185000075187388</v>
      </c>
      <c r="AC54" s="151">
        <f t="shared" si="7"/>
        <v>4842.95</v>
      </c>
      <c r="AD54" s="152">
        <f t="shared" si="8"/>
        <v>0.47019978289841191</v>
      </c>
      <c r="AF54" s="146">
        <f>'[1]App 4-Recyclables'!V54+'[1]App 4-Recyclables'!AB54</f>
        <v>3252.5808126256925</v>
      </c>
      <c r="AG54" s="146">
        <f>'[1]App 4-Recyclables'!W54+'[1]App 4-Recyclables'!AC54</f>
        <v>3059.6608126256924</v>
      </c>
      <c r="AH54" s="146">
        <f>'[1]App 4-Recyclables'!X54+'[1]App 4-Recyclables'!AD54</f>
        <v>192.66000000000003</v>
      </c>
      <c r="AI54" s="146">
        <f>'[1]App 5-Organics'!V54+'[1]App 5-Organics'!AD54</f>
        <v>2460.38</v>
      </c>
      <c r="AJ54" s="146">
        <f>'[1]App 5-Organics'!W54+'[1]App 5-Organics'!AE54</f>
        <v>2381</v>
      </c>
      <c r="AK54" s="146">
        <f>'[1]App 5-Organics'!X54+'[1]App 5-Organics'!AF54</f>
        <v>78.5</v>
      </c>
      <c r="AL54" s="147">
        <f>'[1]App 6-Residual Waste'!AC54+'[1]App 6-Residual Waste'!AI54</f>
        <v>5894.45</v>
      </c>
      <c r="AM54" s="147">
        <f>'[1]App 6-Residual Waste'!AD54+'[1]App 6-Residual Waste'!AJ54</f>
        <v>25.990000000000002</v>
      </c>
      <c r="AN54" s="147">
        <f>'[1]App 6-Residual Waste'!AE54+'[1]App 6-Residual Waste'!AK54</f>
        <v>5868.46</v>
      </c>
      <c r="AO54" s="140"/>
      <c r="AP54" s="147">
        <f t="shared" si="9"/>
        <v>11607.410812625692</v>
      </c>
      <c r="AQ54" s="147">
        <f t="shared" si="9"/>
        <v>5466.6508126256922</v>
      </c>
      <c r="AR54" s="147">
        <f t="shared" si="9"/>
        <v>6139.62</v>
      </c>
      <c r="AS54" s="148">
        <f t="shared" si="10"/>
        <v>0.47096212074095539</v>
      </c>
    </row>
    <row r="55" spans="1:45" ht="15.75" x14ac:dyDescent="0.25">
      <c r="A55" s="8">
        <v>13660</v>
      </c>
      <c r="B55" s="8" t="s">
        <v>119</v>
      </c>
      <c r="C55" s="8" t="s">
        <v>17</v>
      </c>
      <c r="D55" s="29" t="s">
        <v>1</v>
      </c>
      <c r="E55" s="145"/>
      <c r="F55" s="146">
        <f>'App 4 - Recyclables'!V55</f>
        <v>514.8110266558773</v>
      </c>
      <c r="G55" s="146">
        <f>'App 4 - Recyclables'!W55</f>
        <v>491.10102665587726</v>
      </c>
      <c r="H55" s="146">
        <f>'App 4 - Recyclables'!X55</f>
        <v>23.71</v>
      </c>
      <c r="I55" s="146">
        <f>'App 5 - Organics'!V55</f>
        <v>607.13</v>
      </c>
      <c r="J55" s="146">
        <f>'App 5 - Organics'!W55</f>
        <v>200.65</v>
      </c>
      <c r="K55" s="146">
        <f>'App 5 - Organics'!X55</f>
        <v>406.47999999999996</v>
      </c>
      <c r="L55" s="147">
        <f>'App 6 - Residual Waste'!AC55</f>
        <v>931.25</v>
      </c>
      <c r="M55" s="147">
        <f>'App 6 - Residual Waste'!AD55</f>
        <v>0.2</v>
      </c>
      <c r="N55" s="147">
        <f>'App 6 - Residual Waste'!AE55</f>
        <v>931.05</v>
      </c>
      <c r="O55" s="140"/>
      <c r="P55" s="147">
        <f t="shared" si="11"/>
        <v>2053.1910266558771</v>
      </c>
      <c r="Q55" s="147">
        <f t="shared" si="11"/>
        <v>691.95102665587729</v>
      </c>
      <c r="R55" s="147">
        <f t="shared" si="11"/>
        <v>1361.2399999999998</v>
      </c>
      <c r="S55" s="148">
        <f t="shared" si="1"/>
        <v>0.33701249307663717</v>
      </c>
      <c r="U55" s="149">
        <f>(P55*1000)/'App 1 - Services'!F55/52</f>
        <v>7.4513007775628086</v>
      </c>
      <c r="V55" s="149">
        <f>(P55*1000)/'App 1 - Services'!G55/52</f>
        <v>12.012303869882972</v>
      </c>
      <c r="X55" s="150">
        <f t="shared" si="2"/>
        <v>0.33701249307663717</v>
      </c>
      <c r="Y55" s="151">
        <f t="shared" si="3"/>
        <v>514.8110266558773</v>
      </c>
      <c r="Z55" s="152">
        <f t="shared" si="4"/>
        <v>0.25073703321915097</v>
      </c>
      <c r="AA55" s="151">
        <f t="shared" si="5"/>
        <v>607.13</v>
      </c>
      <c r="AB55" s="152">
        <f t="shared" si="6"/>
        <v>0.29570068840056224</v>
      </c>
      <c r="AC55" s="151">
        <f t="shared" si="7"/>
        <v>931.25</v>
      </c>
      <c r="AD55" s="152">
        <f t="shared" si="8"/>
        <v>0.4535622783802869</v>
      </c>
      <c r="AF55" s="146">
        <f>'[1]App 4-Recyclables'!V55+'[1]App 4-Recyclables'!AB55</f>
        <v>517.8110266558773</v>
      </c>
      <c r="AG55" s="146">
        <f>'[1]App 4-Recyclables'!W55+'[1]App 4-Recyclables'!AC55</f>
        <v>494.10102665587726</v>
      </c>
      <c r="AH55" s="146">
        <f>'[1]App 4-Recyclables'!X55+'[1]App 4-Recyclables'!AD55</f>
        <v>24.21</v>
      </c>
      <c r="AI55" s="146">
        <f>'[1]App 5-Organics'!V55+'[1]App 5-Organics'!AD55</f>
        <v>612.13</v>
      </c>
      <c r="AJ55" s="146">
        <f>'[1]App 5-Organics'!W55+'[1]App 5-Organics'!AE55</f>
        <v>205.65</v>
      </c>
      <c r="AK55" s="146">
        <f>'[1]App 5-Organics'!X55+'[1]App 5-Organics'!AF55</f>
        <v>406.97999999999996</v>
      </c>
      <c r="AL55" s="147">
        <f>'[1]App 6-Residual Waste'!AC55+'[1]App 6-Residual Waste'!AI55</f>
        <v>939.25</v>
      </c>
      <c r="AM55" s="147">
        <f>'[1]App 6-Residual Waste'!AD55+'[1]App 6-Residual Waste'!AJ55</f>
        <v>0.2</v>
      </c>
      <c r="AN55" s="147">
        <f>'[1]App 6-Residual Waste'!AE55+'[1]App 6-Residual Waste'!AK55</f>
        <v>939.05</v>
      </c>
      <c r="AO55" s="140"/>
      <c r="AP55" s="147">
        <f t="shared" si="9"/>
        <v>2069.1910266558771</v>
      </c>
      <c r="AQ55" s="147">
        <f t="shared" si="9"/>
        <v>699.95102665587729</v>
      </c>
      <c r="AR55" s="147">
        <f t="shared" si="9"/>
        <v>1370.2399999999998</v>
      </c>
      <c r="AS55" s="148">
        <f t="shared" si="10"/>
        <v>0.33827279242898278</v>
      </c>
    </row>
    <row r="56" spans="1:45" ht="15.75" x14ac:dyDescent="0.25">
      <c r="A56" s="8">
        <v>13800</v>
      </c>
      <c r="B56" s="8" t="s">
        <v>120</v>
      </c>
      <c r="C56" s="8" t="s">
        <v>19</v>
      </c>
      <c r="D56" s="29" t="s">
        <v>2</v>
      </c>
      <c r="E56" s="145"/>
      <c r="F56" s="146">
        <f>'App 4 - Recyclables'!V56</f>
        <v>8736.6110109339679</v>
      </c>
      <c r="G56" s="146">
        <f>'App 4 - Recyclables'!W56</f>
        <v>8230.5810109339691</v>
      </c>
      <c r="H56" s="146">
        <f>'App 4 - Recyclables'!X56</f>
        <v>506.03</v>
      </c>
      <c r="I56" s="146">
        <f>'App 5 - Organics'!V56</f>
        <v>6562</v>
      </c>
      <c r="J56" s="146">
        <f>'App 5 - Organics'!W56</f>
        <v>6562</v>
      </c>
      <c r="K56" s="146">
        <f>'App 5 - Organics'!X56</f>
        <v>0</v>
      </c>
      <c r="L56" s="147">
        <f>'App 6 - Residual Waste'!AC56</f>
        <v>22917</v>
      </c>
      <c r="M56" s="147">
        <f>'App 6 - Residual Waste'!AD56</f>
        <v>1025</v>
      </c>
      <c r="N56" s="147">
        <f>'App 6 - Residual Waste'!AE56</f>
        <v>21892</v>
      </c>
      <c r="O56" s="140"/>
      <c r="P56" s="147">
        <f t="shared" si="11"/>
        <v>38215.611010933964</v>
      </c>
      <c r="Q56" s="147">
        <f t="shared" si="11"/>
        <v>15817.581010933969</v>
      </c>
      <c r="R56" s="147">
        <f t="shared" si="11"/>
        <v>22398.03</v>
      </c>
      <c r="S56" s="148">
        <f t="shared" si="1"/>
        <v>0.41390365331090379</v>
      </c>
      <c r="U56" s="149">
        <f>(P56*1000)/'App 1 - Services'!F56/52</f>
        <v>10.847622789474601</v>
      </c>
      <c r="V56" s="149">
        <f>(P56*1000)/'App 1 - Services'!G56/52</f>
        <v>29.582401334948063</v>
      </c>
      <c r="X56" s="150">
        <f t="shared" si="2"/>
        <v>0.41390365331090379</v>
      </c>
      <c r="Y56" s="151">
        <f t="shared" si="3"/>
        <v>8736.6110109339679</v>
      </c>
      <c r="Z56" s="152">
        <f t="shared" si="4"/>
        <v>0.22861366807492137</v>
      </c>
      <c r="AA56" s="151">
        <f t="shared" si="5"/>
        <v>6562</v>
      </c>
      <c r="AB56" s="152">
        <f t="shared" si="6"/>
        <v>0.17170993283667582</v>
      </c>
      <c r="AC56" s="151">
        <f t="shared" si="7"/>
        <v>22917</v>
      </c>
      <c r="AD56" s="152">
        <f t="shared" si="8"/>
        <v>0.59967639908840287</v>
      </c>
      <c r="AF56" s="146">
        <f>'[1]App 4-Recyclables'!V56+'[1]App 4-Recyclables'!AB56</f>
        <v>8754.6110109339679</v>
      </c>
      <c r="AG56" s="146">
        <f>'[1]App 4-Recyclables'!W56+'[1]App 4-Recyclables'!AC56</f>
        <v>8248.5810109339691</v>
      </c>
      <c r="AH56" s="146">
        <f>'[1]App 4-Recyclables'!X56+'[1]App 4-Recyclables'!AD56</f>
        <v>506.03</v>
      </c>
      <c r="AI56" s="146">
        <f>'[1]App 5-Organics'!V56+'[1]App 5-Organics'!AD56</f>
        <v>6609</v>
      </c>
      <c r="AJ56" s="146">
        <f>'[1]App 5-Organics'!W56+'[1]App 5-Organics'!AE56</f>
        <v>6609</v>
      </c>
      <c r="AK56" s="146">
        <f>'[1]App 5-Organics'!X56+'[1]App 5-Organics'!AF56</f>
        <v>0</v>
      </c>
      <c r="AL56" s="147">
        <f>'[1]App 6-Residual Waste'!AC56+'[1]App 6-Residual Waste'!AI56</f>
        <v>23929</v>
      </c>
      <c r="AM56" s="147">
        <f>'[1]App 6-Residual Waste'!AD56+'[1]App 6-Residual Waste'!AJ56</f>
        <v>1025</v>
      </c>
      <c r="AN56" s="147">
        <f>'[1]App 6-Residual Waste'!AE56+'[1]App 6-Residual Waste'!AK56</f>
        <v>22904</v>
      </c>
      <c r="AO56" s="140"/>
      <c r="AP56" s="147">
        <f t="shared" si="9"/>
        <v>39292.611010933964</v>
      </c>
      <c r="AQ56" s="147">
        <f t="shared" si="9"/>
        <v>15882.581010933969</v>
      </c>
      <c r="AR56" s="147">
        <f t="shared" si="9"/>
        <v>23410.03</v>
      </c>
      <c r="AS56" s="148">
        <f t="shared" si="10"/>
        <v>0.4042129194854045</v>
      </c>
    </row>
    <row r="57" spans="1:45" ht="15.75" x14ac:dyDescent="0.25">
      <c r="A57" s="8">
        <v>13850</v>
      </c>
      <c r="B57" s="8" t="s">
        <v>121</v>
      </c>
      <c r="C57" s="8" t="s">
        <v>75</v>
      </c>
      <c r="D57" s="29" t="s">
        <v>1</v>
      </c>
      <c r="E57" s="145"/>
      <c r="F57" s="146">
        <f>'App 4 - Recyclables'!V57</f>
        <v>2403.4165138142107</v>
      </c>
      <c r="G57" s="146">
        <f>'App 4 - Recyclables'!W57</f>
        <v>2403.4165138142107</v>
      </c>
      <c r="H57" s="146">
        <f>'App 4 - Recyclables'!X57</f>
        <v>0</v>
      </c>
      <c r="I57" s="146">
        <f>'App 5 - Organics'!V57</f>
        <v>3556</v>
      </c>
      <c r="J57" s="146">
        <f>'App 5 - Organics'!W57</f>
        <v>3556</v>
      </c>
      <c r="K57" s="146">
        <f>'App 5 - Organics'!X57</f>
        <v>0</v>
      </c>
      <c r="L57" s="147">
        <f>'App 6 - Residual Waste'!AC57</f>
        <v>3616.3399999999997</v>
      </c>
      <c r="M57" s="147">
        <f>'App 6 - Residual Waste'!AD57</f>
        <v>5.2</v>
      </c>
      <c r="N57" s="147">
        <f>'App 6 - Residual Waste'!AE57</f>
        <v>3611.14</v>
      </c>
      <c r="O57" s="140"/>
      <c r="P57" s="147">
        <f t="shared" si="11"/>
        <v>9575.7565138142108</v>
      </c>
      <c r="Q57" s="147">
        <f t="shared" si="11"/>
        <v>5964.6165138142105</v>
      </c>
      <c r="R57" s="147">
        <f t="shared" si="11"/>
        <v>3611.14</v>
      </c>
      <c r="S57" s="148">
        <f t="shared" si="1"/>
        <v>0.62288723665952817</v>
      </c>
      <c r="U57" s="149">
        <f>(P57*1000)/'App 1 - Services'!F57/52</f>
        <v>62.571921076179528</v>
      </c>
      <c r="V57" s="149">
        <f>(P57*1000)/'App 1 - Services'!G57/52</f>
        <v>102.36195871439486</v>
      </c>
      <c r="X57" s="150">
        <f t="shared" si="2"/>
        <v>0.62288723665952817</v>
      </c>
      <c r="Y57" s="151">
        <f t="shared" si="3"/>
        <v>2403.4165138142107</v>
      </c>
      <c r="Z57" s="152">
        <f t="shared" si="4"/>
        <v>0.25098972706198053</v>
      </c>
      <c r="AA57" s="151">
        <f t="shared" si="5"/>
        <v>3556</v>
      </c>
      <c r="AB57" s="152">
        <f t="shared" si="6"/>
        <v>0.37135447156264167</v>
      </c>
      <c r="AC57" s="151">
        <f t="shared" si="7"/>
        <v>3616.3399999999997</v>
      </c>
      <c r="AD57" s="152">
        <f t="shared" si="8"/>
        <v>0.3776558013753778</v>
      </c>
      <c r="AF57" s="146">
        <f>'[1]App 4-Recyclables'!V57+'[1]App 4-Recyclables'!AB57</f>
        <v>2403.4165138142107</v>
      </c>
      <c r="AG57" s="146">
        <f>'[1]App 4-Recyclables'!W57+'[1]App 4-Recyclables'!AC57</f>
        <v>2403.4165138142107</v>
      </c>
      <c r="AH57" s="146">
        <f>'[1]App 4-Recyclables'!X57+'[1]App 4-Recyclables'!AD57</f>
        <v>0</v>
      </c>
      <c r="AI57" s="146">
        <f>'[1]App 5-Organics'!V57+'[1]App 5-Organics'!AD57</f>
        <v>3556</v>
      </c>
      <c r="AJ57" s="146">
        <f>'[1]App 5-Organics'!W57+'[1]App 5-Organics'!AE57</f>
        <v>3556</v>
      </c>
      <c r="AK57" s="146">
        <f>'[1]App 5-Organics'!X57+'[1]App 5-Organics'!AF57</f>
        <v>0</v>
      </c>
      <c r="AL57" s="147">
        <f>'[1]App 6-Residual Waste'!AC57+'[1]App 6-Residual Waste'!AI57</f>
        <v>3616.3399999999997</v>
      </c>
      <c r="AM57" s="147">
        <f>'[1]App 6-Residual Waste'!AD57+'[1]App 6-Residual Waste'!AJ57</f>
        <v>5.2</v>
      </c>
      <c r="AN57" s="147">
        <f>'[1]App 6-Residual Waste'!AE57+'[1]App 6-Residual Waste'!AK57</f>
        <v>3611.14</v>
      </c>
      <c r="AO57" s="140"/>
      <c r="AP57" s="147">
        <f t="shared" si="9"/>
        <v>9575.7565138142108</v>
      </c>
      <c r="AQ57" s="147">
        <f t="shared" si="9"/>
        <v>5964.6165138142105</v>
      </c>
      <c r="AR57" s="147">
        <f t="shared" si="9"/>
        <v>3611.14</v>
      </c>
      <c r="AS57" s="148">
        <f t="shared" si="10"/>
        <v>0.62288723665952817</v>
      </c>
    </row>
    <row r="58" spans="1:45" ht="15.75" x14ac:dyDescent="0.25">
      <c r="A58" s="8">
        <v>13910</v>
      </c>
      <c r="B58" s="8" t="s">
        <v>122</v>
      </c>
      <c r="C58" s="8" t="s">
        <v>74</v>
      </c>
      <c r="D58" s="29" t="s">
        <v>1</v>
      </c>
      <c r="E58" s="145"/>
      <c r="F58" s="146">
        <f>'App 4 - Recyclables'!V58</f>
        <v>2952.3810595063869</v>
      </c>
      <c r="G58" s="146">
        <f>'App 4 - Recyclables'!W58</f>
        <v>2947.3810595063869</v>
      </c>
      <c r="H58" s="146">
        <f>'App 4 - Recyclables'!X58</f>
        <v>5</v>
      </c>
      <c r="I58" s="146">
        <f>'App 5 - Organics'!V58</f>
        <v>4803.8999999999996</v>
      </c>
      <c r="J58" s="146">
        <f>'App 5 - Organics'!W58</f>
        <v>4803.8999999999996</v>
      </c>
      <c r="K58" s="146">
        <f>'App 5 - Organics'!X58</f>
        <v>0</v>
      </c>
      <c r="L58" s="147">
        <f>'App 6 - Residual Waste'!AC58</f>
        <v>6892</v>
      </c>
      <c r="M58" s="147">
        <f>'App 6 - Residual Waste'!AD58</f>
        <v>0</v>
      </c>
      <c r="N58" s="147">
        <f>'App 6 - Residual Waste'!AE58</f>
        <v>6892</v>
      </c>
      <c r="O58" s="140"/>
      <c r="P58" s="147">
        <f t="shared" si="11"/>
        <v>14648.281059506386</v>
      </c>
      <c r="Q58" s="147">
        <f t="shared" si="11"/>
        <v>7751.2810595063866</v>
      </c>
      <c r="R58" s="147">
        <f t="shared" si="11"/>
        <v>6897</v>
      </c>
      <c r="S58" s="148">
        <f t="shared" si="1"/>
        <v>0.52915977158125249</v>
      </c>
      <c r="U58" s="149">
        <f>(P58*1000)/'App 1 - Services'!F58/52</f>
        <v>15.131208716915459</v>
      </c>
      <c r="V58" s="149">
        <f>(P58*1000)/'App 1 - Services'!G58/52</f>
        <v>24.593828591131057</v>
      </c>
      <c r="X58" s="150">
        <f t="shared" si="2"/>
        <v>0.52915977158125249</v>
      </c>
      <c r="Y58" s="151">
        <f t="shared" si="3"/>
        <v>2952.3810595063869</v>
      </c>
      <c r="Z58" s="152">
        <f t="shared" si="4"/>
        <v>0.2015513661645891</v>
      </c>
      <c r="AA58" s="151">
        <f t="shared" si="5"/>
        <v>4803.8999999999996</v>
      </c>
      <c r="AB58" s="152">
        <f t="shared" si="6"/>
        <v>0.3279497423953634</v>
      </c>
      <c r="AC58" s="151">
        <f t="shared" si="7"/>
        <v>6892</v>
      </c>
      <c r="AD58" s="152">
        <f t="shared" si="8"/>
        <v>0.47049889144004758</v>
      </c>
      <c r="AF58" s="146">
        <f>'[1]App 4-Recyclables'!V58+'[1]App 4-Recyclables'!AB58</f>
        <v>2952.3810595063869</v>
      </c>
      <c r="AG58" s="146">
        <f>'[1]App 4-Recyclables'!W58+'[1]App 4-Recyclables'!AC58</f>
        <v>2947.3810595063869</v>
      </c>
      <c r="AH58" s="146">
        <f>'[1]App 4-Recyclables'!X58+'[1]App 4-Recyclables'!AD58</f>
        <v>5</v>
      </c>
      <c r="AI58" s="146">
        <f>'[1]App 5-Organics'!V58+'[1]App 5-Organics'!AD58</f>
        <v>4803.8999999999996</v>
      </c>
      <c r="AJ58" s="146">
        <f>'[1]App 5-Organics'!W58+'[1]App 5-Organics'!AE58</f>
        <v>4803.8999999999996</v>
      </c>
      <c r="AK58" s="146">
        <f>'[1]App 5-Organics'!X58+'[1]App 5-Organics'!AF58</f>
        <v>0</v>
      </c>
      <c r="AL58" s="147">
        <f>'[1]App 6-Residual Waste'!AC58+'[1]App 6-Residual Waste'!AI58</f>
        <v>6892</v>
      </c>
      <c r="AM58" s="147">
        <f>'[1]App 6-Residual Waste'!AD58+'[1]App 6-Residual Waste'!AJ58</f>
        <v>0</v>
      </c>
      <c r="AN58" s="147">
        <f>'[1]App 6-Residual Waste'!AE58+'[1]App 6-Residual Waste'!AK58</f>
        <v>6892</v>
      </c>
      <c r="AO58" s="140"/>
      <c r="AP58" s="147">
        <f t="shared" si="9"/>
        <v>14648.281059506386</v>
      </c>
      <c r="AQ58" s="147">
        <f t="shared" si="9"/>
        <v>7751.2810595063866</v>
      </c>
      <c r="AR58" s="147">
        <f t="shared" si="9"/>
        <v>6897</v>
      </c>
      <c r="AS58" s="148">
        <f t="shared" si="10"/>
        <v>0.52915977158125249</v>
      </c>
    </row>
    <row r="59" spans="1:45" ht="15.75" x14ac:dyDescent="0.25">
      <c r="A59" s="8">
        <v>14000</v>
      </c>
      <c r="B59" s="8" t="s">
        <v>123</v>
      </c>
      <c r="C59" s="8" t="s">
        <v>26</v>
      </c>
      <c r="D59" s="29" t="s">
        <v>3</v>
      </c>
      <c r="E59" s="145"/>
      <c r="F59" s="146">
        <f>'App 4 - Recyclables'!V59</f>
        <v>14297.856182791609</v>
      </c>
      <c r="G59" s="146">
        <f>'App 4 - Recyclables'!W59</f>
        <v>13318.856182791609</v>
      </c>
      <c r="H59" s="146">
        <f>'App 4 - Recyclables'!X59</f>
        <v>979</v>
      </c>
      <c r="I59" s="146">
        <f>'App 5 - Organics'!V59</f>
        <v>18647</v>
      </c>
      <c r="J59" s="146">
        <f>'App 5 - Organics'!W59</f>
        <v>18647</v>
      </c>
      <c r="K59" s="146">
        <f>'App 5 - Organics'!X59</f>
        <v>0</v>
      </c>
      <c r="L59" s="147">
        <f>'App 6 - Residual Waste'!AC59</f>
        <v>38539</v>
      </c>
      <c r="M59" s="147">
        <f>'App 6 - Residual Waste'!AD59</f>
        <v>243</v>
      </c>
      <c r="N59" s="147">
        <f>'App 6 - Residual Waste'!AE59</f>
        <v>38296</v>
      </c>
      <c r="O59" s="140"/>
      <c r="P59" s="147">
        <f t="shared" si="11"/>
        <v>71483.856182791613</v>
      </c>
      <c r="Q59" s="147">
        <f t="shared" si="11"/>
        <v>32208.856182791609</v>
      </c>
      <c r="R59" s="147">
        <f t="shared" si="11"/>
        <v>39275</v>
      </c>
      <c r="S59" s="148">
        <f t="shared" si="1"/>
        <v>0.45057524737375992</v>
      </c>
      <c r="U59" s="149">
        <f>(P59*1000)/'App 1 - Services'!F59/52</f>
        <v>9.0191481506686291</v>
      </c>
      <c r="V59" s="149">
        <f>(P59*1000)/'App 1 - Services'!G59/52</f>
        <v>26.190549115545682</v>
      </c>
      <c r="X59" s="150">
        <f t="shared" si="2"/>
        <v>0.45057524737375992</v>
      </c>
      <c r="Y59" s="151">
        <f t="shared" si="3"/>
        <v>14297.856182791609</v>
      </c>
      <c r="Z59" s="152">
        <f t="shared" si="4"/>
        <v>0.20001517750008493</v>
      </c>
      <c r="AA59" s="151">
        <f t="shared" si="5"/>
        <v>18647</v>
      </c>
      <c r="AB59" s="152">
        <f t="shared" si="6"/>
        <v>0.26085610088406103</v>
      </c>
      <c r="AC59" s="151">
        <f t="shared" si="7"/>
        <v>38539</v>
      </c>
      <c r="AD59" s="152">
        <f t="shared" si="8"/>
        <v>0.5391287216158539</v>
      </c>
      <c r="AF59" s="146">
        <f>'[1]App 4-Recyclables'!V59+'[1]App 4-Recyclables'!AB59</f>
        <v>14297.856182791609</v>
      </c>
      <c r="AG59" s="146">
        <f>'[1]App 4-Recyclables'!W59+'[1]App 4-Recyclables'!AC59</f>
        <v>13318.856182791609</v>
      </c>
      <c r="AH59" s="146">
        <f>'[1]App 4-Recyclables'!X59+'[1]App 4-Recyclables'!AD59</f>
        <v>979</v>
      </c>
      <c r="AI59" s="146">
        <f>'[1]App 5-Organics'!V59+'[1]App 5-Organics'!AD59</f>
        <v>19172</v>
      </c>
      <c r="AJ59" s="146">
        <f>'[1]App 5-Organics'!W59+'[1]App 5-Organics'!AE59</f>
        <v>19172</v>
      </c>
      <c r="AK59" s="146">
        <f>'[1]App 5-Organics'!X59+'[1]App 5-Organics'!AF59</f>
        <v>0</v>
      </c>
      <c r="AL59" s="147">
        <f>'[1]App 6-Residual Waste'!AC59+'[1]App 6-Residual Waste'!AI59</f>
        <v>38539</v>
      </c>
      <c r="AM59" s="147">
        <f>'[1]App 6-Residual Waste'!AD59+'[1]App 6-Residual Waste'!AJ59</f>
        <v>243</v>
      </c>
      <c r="AN59" s="147">
        <f>'[1]App 6-Residual Waste'!AE59+'[1]App 6-Residual Waste'!AK59</f>
        <v>38296</v>
      </c>
      <c r="AO59" s="140"/>
      <c r="AP59" s="147">
        <f t="shared" si="9"/>
        <v>72008.856182791613</v>
      </c>
      <c r="AQ59" s="147">
        <f t="shared" si="9"/>
        <v>32733.856182791609</v>
      </c>
      <c r="AR59" s="147">
        <f t="shared" si="9"/>
        <v>39275</v>
      </c>
      <c r="AS59" s="148">
        <f t="shared" si="10"/>
        <v>0.45458097681343557</v>
      </c>
    </row>
    <row r="60" spans="1:45" ht="15.75" x14ac:dyDescent="0.25">
      <c r="A60" s="8">
        <v>14100</v>
      </c>
      <c r="B60" s="8" t="s">
        <v>56</v>
      </c>
      <c r="C60" s="8" t="s">
        <v>26</v>
      </c>
      <c r="D60" s="29" t="s">
        <v>3</v>
      </c>
      <c r="E60" s="145"/>
      <c r="F60" s="146">
        <f>'App 4 - Recyclables'!V60</f>
        <v>1210.9295725311022</v>
      </c>
      <c r="G60" s="146">
        <f>'App 4 - Recyclables'!W60</f>
        <v>1176.9195725311022</v>
      </c>
      <c r="H60" s="146">
        <f>'App 4 - Recyclables'!X60</f>
        <v>34.01</v>
      </c>
      <c r="I60" s="146">
        <f>'App 5 - Organics'!V60</f>
        <v>1518</v>
      </c>
      <c r="J60" s="146">
        <f>'App 5 - Organics'!W60</f>
        <v>1518</v>
      </c>
      <c r="K60" s="146">
        <f>'App 5 - Organics'!X60</f>
        <v>0</v>
      </c>
      <c r="L60" s="147">
        <f>'App 6 - Residual Waste'!AC60</f>
        <v>3360.89</v>
      </c>
      <c r="M60" s="147">
        <f>'App 6 - Residual Waste'!AD60</f>
        <v>538.11999999999989</v>
      </c>
      <c r="N60" s="147">
        <f>'App 6 - Residual Waste'!AE60</f>
        <v>2822.77</v>
      </c>
      <c r="O60" s="140"/>
      <c r="P60" s="147">
        <f t="shared" si="11"/>
        <v>6089.8195725311016</v>
      </c>
      <c r="Q60" s="147">
        <f t="shared" si="11"/>
        <v>3233.0395725311018</v>
      </c>
      <c r="R60" s="147">
        <f t="shared" si="11"/>
        <v>2856.78</v>
      </c>
      <c r="S60" s="148">
        <f t="shared" si="1"/>
        <v>0.53089250576718794</v>
      </c>
      <c r="U60" s="149">
        <f>(P60*1000)/'App 1 - Services'!F60/52</f>
        <v>7.8272901254088572</v>
      </c>
      <c r="V60" s="149">
        <f>(P60*1000)/'App 1 - Services'!G60/52</f>
        <v>22.36240497543772</v>
      </c>
      <c r="X60" s="150">
        <f t="shared" si="2"/>
        <v>0.53089250576718794</v>
      </c>
      <c r="Y60" s="151">
        <f t="shared" si="3"/>
        <v>1210.9295725311022</v>
      </c>
      <c r="Z60" s="152">
        <f t="shared" si="4"/>
        <v>0.1988449014143461</v>
      </c>
      <c r="AA60" s="151">
        <f t="shared" si="5"/>
        <v>1518</v>
      </c>
      <c r="AB60" s="152">
        <f t="shared" si="6"/>
        <v>0.2492684687814283</v>
      </c>
      <c r="AC60" s="151">
        <f t="shared" si="7"/>
        <v>3360.89</v>
      </c>
      <c r="AD60" s="152">
        <f t="shared" si="8"/>
        <v>0.55188662980422565</v>
      </c>
      <c r="AF60" s="146">
        <f>'[1]App 4-Recyclables'!V60+'[1]App 4-Recyclables'!AB60</f>
        <v>1210.9295725311022</v>
      </c>
      <c r="AG60" s="146">
        <f>'[1]App 4-Recyclables'!W60+'[1]App 4-Recyclables'!AC60</f>
        <v>1176.9195725311022</v>
      </c>
      <c r="AH60" s="146">
        <f>'[1]App 4-Recyclables'!X60+'[1]App 4-Recyclables'!AD60</f>
        <v>34.01</v>
      </c>
      <c r="AI60" s="146">
        <f>'[1]App 5-Organics'!V60+'[1]App 5-Organics'!AD60</f>
        <v>1518</v>
      </c>
      <c r="AJ60" s="146">
        <f>'[1]App 5-Organics'!W60+'[1]App 5-Organics'!AE60</f>
        <v>1518</v>
      </c>
      <c r="AK60" s="146">
        <f>'[1]App 5-Organics'!X60+'[1]App 5-Organics'!AF60</f>
        <v>0</v>
      </c>
      <c r="AL60" s="147">
        <f>'[1]App 6-Residual Waste'!AC60+'[1]App 6-Residual Waste'!AI60</f>
        <v>3360.89</v>
      </c>
      <c r="AM60" s="147">
        <f>'[1]App 6-Residual Waste'!AD60+'[1]App 6-Residual Waste'!AJ60</f>
        <v>538.11999999999989</v>
      </c>
      <c r="AN60" s="147">
        <f>'[1]App 6-Residual Waste'!AE60+'[1]App 6-Residual Waste'!AK60</f>
        <v>2822.77</v>
      </c>
      <c r="AO60" s="140"/>
      <c r="AP60" s="147">
        <f t="shared" si="9"/>
        <v>6089.8195725311016</v>
      </c>
      <c r="AQ60" s="147">
        <f t="shared" si="9"/>
        <v>3233.0395725311018</v>
      </c>
      <c r="AR60" s="147">
        <f t="shared" si="9"/>
        <v>2856.78</v>
      </c>
      <c r="AS60" s="148">
        <f t="shared" si="10"/>
        <v>0.53089250576718794</v>
      </c>
    </row>
    <row r="61" spans="1:45" ht="15.75" x14ac:dyDescent="0.25">
      <c r="A61" s="8">
        <v>14170</v>
      </c>
      <c r="B61" s="8" t="s">
        <v>57</v>
      </c>
      <c r="C61" s="8" t="s">
        <v>18</v>
      </c>
      <c r="D61" s="29" t="s">
        <v>3</v>
      </c>
      <c r="E61" s="145"/>
      <c r="F61" s="146">
        <f>'App 4 - Recyclables'!V61</f>
        <v>15096.141475292965</v>
      </c>
      <c r="G61" s="146">
        <f>'App 4 - Recyclables'!W61</f>
        <v>13953.141475292965</v>
      </c>
      <c r="H61" s="146">
        <f>'App 4 - Recyclables'!X61</f>
        <v>1143</v>
      </c>
      <c r="I61" s="146">
        <f>'App 5 - Organics'!V61</f>
        <v>7398</v>
      </c>
      <c r="J61" s="146">
        <f>'App 5 - Organics'!W61</f>
        <v>7398</v>
      </c>
      <c r="K61" s="146">
        <f>'App 5 - Organics'!X61</f>
        <v>0</v>
      </c>
      <c r="L61" s="147">
        <f>'App 6 - Residual Waste'!AC61</f>
        <v>41316.01</v>
      </c>
      <c r="M61" s="147">
        <f>'App 6 - Residual Waste'!AD61</f>
        <v>8700.1699999999983</v>
      </c>
      <c r="N61" s="147">
        <f>'App 6 - Residual Waste'!AE61</f>
        <v>32615.840000000004</v>
      </c>
      <c r="O61" s="140"/>
      <c r="P61" s="147">
        <f t="shared" si="11"/>
        <v>63810.151475292965</v>
      </c>
      <c r="Q61" s="147">
        <f t="shared" si="11"/>
        <v>30051.311475292961</v>
      </c>
      <c r="R61" s="147">
        <f t="shared" si="11"/>
        <v>33758.840000000004</v>
      </c>
      <c r="S61" s="148">
        <f t="shared" si="1"/>
        <v>0.4709487562794567</v>
      </c>
      <c r="U61" s="149">
        <f>(P61*1000)/'App 1 - Services'!F61/52</f>
        <v>6.0784540202188815</v>
      </c>
      <c r="V61" s="149">
        <f>(P61*1000)/'App 1 - Services'!G61/52</f>
        <v>15.665806610432496</v>
      </c>
      <c r="X61" s="150">
        <f t="shared" si="2"/>
        <v>0.4709487562794567</v>
      </c>
      <c r="Y61" s="151">
        <f t="shared" si="3"/>
        <v>15096.141475292965</v>
      </c>
      <c r="Z61" s="152">
        <f t="shared" si="4"/>
        <v>0.23657899450588407</v>
      </c>
      <c r="AA61" s="151">
        <f t="shared" si="5"/>
        <v>7398</v>
      </c>
      <c r="AB61" s="152">
        <f t="shared" si="6"/>
        <v>0.115937665543146</v>
      </c>
      <c r="AC61" s="151">
        <f t="shared" si="7"/>
        <v>41316.01</v>
      </c>
      <c r="AD61" s="152">
        <f t="shared" si="8"/>
        <v>0.64748333995096996</v>
      </c>
      <c r="AF61" s="146">
        <f>'[1]App 4-Recyclables'!V61+'[1]App 4-Recyclables'!AB61</f>
        <v>15096.141475292965</v>
      </c>
      <c r="AG61" s="146">
        <f>'[1]App 4-Recyclables'!W61+'[1]App 4-Recyclables'!AC61</f>
        <v>13953.141475292965</v>
      </c>
      <c r="AH61" s="146">
        <f>'[1]App 4-Recyclables'!X61+'[1]App 4-Recyclables'!AD61</f>
        <v>1143</v>
      </c>
      <c r="AI61" s="146">
        <f>'[1]App 5-Organics'!V61+'[1]App 5-Organics'!AD61</f>
        <v>7770.66</v>
      </c>
      <c r="AJ61" s="146">
        <f>'[1]App 5-Organics'!W61+'[1]App 5-Organics'!AE61</f>
        <v>7770</v>
      </c>
      <c r="AK61" s="146">
        <f>'[1]App 5-Organics'!X61+'[1]App 5-Organics'!AF61</f>
        <v>0</v>
      </c>
      <c r="AL61" s="147">
        <f>'[1]App 6-Residual Waste'!AC61+'[1]App 6-Residual Waste'!AI61</f>
        <v>41316.01</v>
      </c>
      <c r="AM61" s="147">
        <f>'[1]App 6-Residual Waste'!AD61+'[1]App 6-Residual Waste'!AJ61</f>
        <v>8700.1699999999983</v>
      </c>
      <c r="AN61" s="147">
        <f>'[1]App 6-Residual Waste'!AE61+'[1]App 6-Residual Waste'!AK61</f>
        <v>32615.840000000004</v>
      </c>
      <c r="AO61" s="140"/>
      <c r="AP61" s="147">
        <f t="shared" si="9"/>
        <v>64182.811475292969</v>
      </c>
      <c r="AQ61" s="147">
        <f t="shared" si="9"/>
        <v>30423.311475292961</v>
      </c>
      <c r="AR61" s="147">
        <f t="shared" si="9"/>
        <v>33758.840000000004</v>
      </c>
      <c r="AS61" s="148">
        <f t="shared" si="10"/>
        <v>0.47401026499134191</v>
      </c>
    </row>
    <row r="62" spans="1:45" ht="15.75" x14ac:dyDescent="0.25">
      <c r="A62" s="8">
        <v>14200</v>
      </c>
      <c r="B62" s="8" t="s">
        <v>124</v>
      </c>
      <c r="C62" s="8" t="s">
        <v>17</v>
      </c>
      <c r="D62" s="29" t="s">
        <v>1</v>
      </c>
      <c r="E62" s="145"/>
      <c r="F62" s="146">
        <f>'App 4 - Recyclables'!V62</f>
        <v>2105.0814844441738</v>
      </c>
      <c r="G62" s="146">
        <f>'App 4 - Recyclables'!W62</f>
        <v>1786.0814844441738</v>
      </c>
      <c r="H62" s="146">
        <f>'App 4 - Recyclables'!X62</f>
        <v>319</v>
      </c>
      <c r="I62" s="146">
        <f>'App 5 - Organics'!V62</f>
        <v>912.44</v>
      </c>
      <c r="J62" s="146">
        <f>'App 5 - Organics'!W62</f>
        <v>912.44</v>
      </c>
      <c r="K62" s="146">
        <f>'App 5 - Organics'!X62</f>
        <v>0</v>
      </c>
      <c r="L62" s="147">
        <f>'App 6 - Residual Waste'!AC62</f>
        <v>8113.28</v>
      </c>
      <c r="M62" s="147">
        <f>'App 6 - Residual Waste'!AD62</f>
        <v>788.28000000000009</v>
      </c>
      <c r="N62" s="147">
        <f>'App 6 - Residual Waste'!AE62</f>
        <v>7325</v>
      </c>
      <c r="O62" s="140"/>
      <c r="P62" s="147">
        <f t="shared" si="11"/>
        <v>11130.801484444173</v>
      </c>
      <c r="Q62" s="147">
        <f t="shared" si="11"/>
        <v>3486.8014844441741</v>
      </c>
      <c r="R62" s="147">
        <f t="shared" si="11"/>
        <v>7644</v>
      </c>
      <c r="S62" s="148">
        <f t="shared" si="1"/>
        <v>0.31325700034423809</v>
      </c>
      <c r="U62" s="149">
        <f>(P62*1000)/'App 1 - Services'!F62/52</f>
        <v>12.039025573726066</v>
      </c>
      <c r="V62" s="149">
        <f>(P62*1000)/'App 1 - Services'!G62/52</f>
        <v>24.927666787102535</v>
      </c>
      <c r="X62" s="150">
        <f t="shared" si="2"/>
        <v>0.31325700034423809</v>
      </c>
      <c r="Y62" s="151">
        <f t="shared" si="3"/>
        <v>2105.0814844441738</v>
      </c>
      <c r="Z62" s="152">
        <f t="shared" si="4"/>
        <v>0.18912218382352122</v>
      </c>
      <c r="AA62" s="151">
        <f t="shared" si="5"/>
        <v>912.44</v>
      </c>
      <c r="AB62" s="152">
        <f t="shared" si="6"/>
        <v>8.197433053452427E-2</v>
      </c>
      <c r="AC62" s="151">
        <f t="shared" si="7"/>
        <v>8113.28</v>
      </c>
      <c r="AD62" s="152">
        <f t="shared" si="8"/>
        <v>0.72890348564195451</v>
      </c>
      <c r="AF62" s="146">
        <f>'[1]App 4-Recyclables'!V62+'[1]App 4-Recyclables'!AB62</f>
        <v>2105.0814844441738</v>
      </c>
      <c r="AG62" s="146">
        <f>'[1]App 4-Recyclables'!W62+'[1]App 4-Recyclables'!AC62</f>
        <v>1786.0814844441738</v>
      </c>
      <c r="AH62" s="146">
        <f>'[1]App 4-Recyclables'!X62+'[1]App 4-Recyclables'!AD62</f>
        <v>319</v>
      </c>
      <c r="AI62" s="146">
        <f>'[1]App 5-Organics'!V62+'[1]App 5-Organics'!AD62</f>
        <v>1198.44</v>
      </c>
      <c r="AJ62" s="146">
        <f>'[1]App 5-Organics'!W62+'[1]App 5-Organics'!AE62</f>
        <v>1198.44</v>
      </c>
      <c r="AK62" s="146">
        <f>'[1]App 5-Organics'!X62+'[1]App 5-Organics'!AF62</f>
        <v>0</v>
      </c>
      <c r="AL62" s="147">
        <f>'[1]App 6-Residual Waste'!AC62+'[1]App 6-Residual Waste'!AI62</f>
        <v>8796.2799999999988</v>
      </c>
      <c r="AM62" s="147">
        <f>'[1]App 6-Residual Waste'!AD62+'[1]App 6-Residual Waste'!AJ62</f>
        <v>788.28000000000009</v>
      </c>
      <c r="AN62" s="147">
        <f>'[1]App 6-Residual Waste'!AE62+'[1]App 6-Residual Waste'!AK62</f>
        <v>8008</v>
      </c>
      <c r="AO62" s="140"/>
      <c r="AP62" s="147">
        <f t="shared" si="9"/>
        <v>12099.801484444173</v>
      </c>
      <c r="AQ62" s="147">
        <f t="shared" si="9"/>
        <v>3772.8014844441741</v>
      </c>
      <c r="AR62" s="147">
        <f t="shared" si="9"/>
        <v>8327</v>
      </c>
      <c r="AS62" s="148">
        <f t="shared" si="10"/>
        <v>0.31180689115392413</v>
      </c>
    </row>
    <row r="63" spans="1:45" ht="15.75" x14ac:dyDescent="0.25">
      <c r="A63" s="8">
        <v>14300</v>
      </c>
      <c r="B63" s="8" t="s">
        <v>125</v>
      </c>
      <c r="C63" s="8" t="s">
        <v>22</v>
      </c>
      <c r="D63" s="29" t="s">
        <v>1</v>
      </c>
      <c r="E63" s="145"/>
      <c r="F63" s="146">
        <f>'App 4 - Recyclables'!V63</f>
        <v>720.0822123910707</v>
      </c>
      <c r="G63" s="146">
        <f>'App 4 - Recyclables'!W63</f>
        <v>705.52221239107064</v>
      </c>
      <c r="H63" s="146">
        <f>'App 4 - Recyclables'!X63</f>
        <v>14.56</v>
      </c>
      <c r="I63" s="146">
        <f>'App 5 - Organics'!V63</f>
        <v>760.4</v>
      </c>
      <c r="J63" s="146">
        <f>'App 5 - Organics'!W63</f>
        <v>760.4</v>
      </c>
      <c r="K63" s="146">
        <f>'App 5 - Organics'!X63</f>
        <v>0</v>
      </c>
      <c r="L63" s="147">
        <f>'App 6 - Residual Waste'!AC63</f>
        <v>1523.5</v>
      </c>
      <c r="M63" s="147">
        <f>'App 6 - Residual Waste'!AD63</f>
        <v>5</v>
      </c>
      <c r="N63" s="147">
        <f>'App 6 - Residual Waste'!AE63</f>
        <v>1518.5</v>
      </c>
      <c r="O63" s="140"/>
      <c r="P63" s="147">
        <f t="shared" si="11"/>
        <v>3003.9822123910708</v>
      </c>
      <c r="Q63" s="147">
        <f t="shared" si="11"/>
        <v>1470.9222123910706</v>
      </c>
      <c r="R63" s="147">
        <f t="shared" si="11"/>
        <v>1533.06</v>
      </c>
      <c r="S63" s="148">
        <f t="shared" si="1"/>
        <v>0.4896574308342076</v>
      </c>
      <c r="U63" s="149">
        <f>(P63*1000)/'App 1 - Services'!F63/52</f>
        <v>8.6532187986561251</v>
      </c>
      <c r="V63" s="149">
        <f>(P63*1000)/'App 1 - Services'!G63/52</f>
        <v>18.713601781609423</v>
      </c>
      <c r="X63" s="150">
        <f t="shared" si="2"/>
        <v>0.4896574308342076</v>
      </c>
      <c r="Y63" s="151">
        <f t="shared" si="3"/>
        <v>720.0822123910707</v>
      </c>
      <c r="Z63" s="152">
        <f t="shared" si="4"/>
        <v>0.23970921313076252</v>
      </c>
      <c r="AA63" s="151">
        <f t="shared" si="5"/>
        <v>760.4</v>
      </c>
      <c r="AB63" s="152">
        <f t="shared" si="6"/>
        <v>0.25313065998308515</v>
      </c>
      <c r="AC63" s="151">
        <f t="shared" si="7"/>
        <v>1523.5</v>
      </c>
      <c r="AD63" s="152">
        <f t="shared" si="8"/>
        <v>0.50716012688615231</v>
      </c>
      <c r="AF63" s="146">
        <f>'[1]App 4-Recyclables'!V63+'[1]App 4-Recyclables'!AB63</f>
        <v>750.0822123910707</v>
      </c>
      <c r="AG63" s="146">
        <f>'[1]App 4-Recyclables'!W63+'[1]App 4-Recyclables'!AC63</f>
        <v>735.52221239107064</v>
      </c>
      <c r="AH63" s="146">
        <f>'[1]App 4-Recyclables'!X63+'[1]App 4-Recyclables'!AD63</f>
        <v>14.56</v>
      </c>
      <c r="AI63" s="146">
        <f>'[1]App 5-Organics'!V63+'[1]App 5-Organics'!AD63</f>
        <v>1111.4000000000001</v>
      </c>
      <c r="AJ63" s="146">
        <f>'[1]App 5-Organics'!W63+'[1]App 5-Organics'!AE63</f>
        <v>1111.4000000000001</v>
      </c>
      <c r="AK63" s="146">
        <f>'[1]App 5-Organics'!X63+'[1]App 5-Organics'!AF63</f>
        <v>0</v>
      </c>
      <c r="AL63" s="147">
        <f>'[1]App 6-Residual Waste'!AC63+'[1]App 6-Residual Waste'!AI63</f>
        <v>1640.5</v>
      </c>
      <c r="AM63" s="147">
        <f>'[1]App 6-Residual Waste'!AD63+'[1]App 6-Residual Waste'!AJ63</f>
        <v>5</v>
      </c>
      <c r="AN63" s="147">
        <f>'[1]App 6-Residual Waste'!AE63+'[1]App 6-Residual Waste'!AK63</f>
        <v>1635.5</v>
      </c>
      <c r="AO63" s="140"/>
      <c r="AP63" s="147">
        <f t="shared" si="9"/>
        <v>3501.9822123910708</v>
      </c>
      <c r="AQ63" s="147">
        <f t="shared" si="9"/>
        <v>1851.9222123910708</v>
      </c>
      <c r="AR63" s="147">
        <f t="shared" si="9"/>
        <v>1650.06</v>
      </c>
      <c r="AS63" s="148">
        <f t="shared" si="10"/>
        <v>0.52882113616637194</v>
      </c>
    </row>
    <row r="64" spans="1:45" ht="15.75" x14ac:dyDescent="0.25">
      <c r="A64" s="8">
        <v>14350</v>
      </c>
      <c r="B64" s="8" t="s">
        <v>126</v>
      </c>
      <c r="C64" s="8" t="s">
        <v>43</v>
      </c>
      <c r="D64" s="29" t="s">
        <v>4</v>
      </c>
      <c r="E64" s="145"/>
      <c r="F64" s="146">
        <f>'App 4 - Recyclables'!V64</f>
        <v>4388.915686930437</v>
      </c>
      <c r="G64" s="146">
        <f>'App 4 - Recyclables'!W64</f>
        <v>4267.0656869304376</v>
      </c>
      <c r="H64" s="146">
        <f>'App 4 - Recyclables'!X64</f>
        <v>121.85</v>
      </c>
      <c r="I64" s="146">
        <f>'App 5 - Organics'!V64</f>
        <v>4737</v>
      </c>
      <c r="J64" s="146">
        <f>'App 5 - Organics'!W64</f>
        <v>4732</v>
      </c>
      <c r="K64" s="146">
        <f>'App 5 - Organics'!X64</f>
        <v>5</v>
      </c>
      <c r="L64" s="147">
        <f>'App 6 - Residual Waste'!AC64</f>
        <v>11949.85</v>
      </c>
      <c r="M64" s="147">
        <f>'App 6 - Residual Waste'!AD64</f>
        <v>108.84</v>
      </c>
      <c r="N64" s="147">
        <f>'App 6 - Residual Waste'!AE64</f>
        <v>11841.01</v>
      </c>
      <c r="O64" s="140"/>
      <c r="P64" s="147">
        <f t="shared" si="11"/>
        <v>21075.765686930437</v>
      </c>
      <c r="Q64" s="147">
        <f t="shared" si="11"/>
        <v>9107.9056869304368</v>
      </c>
      <c r="R64" s="147">
        <f t="shared" si="11"/>
        <v>11967.86</v>
      </c>
      <c r="S64" s="148">
        <f t="shared" si="1"/>
        <v>0.43215064269662368</v>
      </c>
      <c r="U64" s="149">
        <f>(P64*1000)/'App 1 - Services'!F64/52</f>
        <v>13.545776755025694</v>
      </c>
      <c r="V64" s="149">
        <f>(P64*1000)/'App 1 - Services'!G64/52</f>
        <v>25.81713397586622</v>
      </c>
      <c r="X64" s="150">
        <f t="shared" si="2"/>
        <v>0.43215064269662368</v>
      </c>
      <c r="Y64" s="151">
        <f t="shared" si="3"/>
        <v>4388.915686930437</v>
      </c>
      <c r="Z64" s="152">
        <f t="shared" si="4"/>
        <v>0.2082446612913382</v>
      </c>
      <c r="AA64" s="151">
        <f t="shared" si="5"/>
        <v>4737</v>
      </c>
      <c r="AB64" s="152">
        <f t="shared" si="6"/>
        <v>0.22476051738122718</v>
      </c>
      <c r="AC64" s="151">
        <f t="shared" si="7"/>
        <v>11949.85</v>
      </c>
      <c r="AD64" s="152">
        <f t="shared" si="8"/>
        <v>0.56699482132743462</v>
      </c>
      <c r="AF64" s="146">
        <f>'[1]App 4-Recyclables'!V64+'[1]App 4-Recyclables'!AB64</f>
        <v>4388.915686930437</v>
      </c>
      <c r="AG64" s="146">
        <f>'[1]App 4-Recyclables'!W64+'[1]App 4-Recyclables'!AC64</f>
        <v>4267.0656869304376</v>
      </c>
      <c r="AH64" s="146">
        <f>'[1]App 4-Recyclables'!X64+'[1]App 4-Recyclables'!AD64</f>
        <v>121.85</v>
      </c>
      <c r="AI64" s="146">
        <f>'[1]App 5-Organics'!V64+'[1]App 5-Organics'!AD64</f>
        <v>5062.9399999999996</v>
      </c>
      <c r="AJ64" s="146">
        <f>'[1]App 5-Organics'!W64+'[1]App 5-Organics'!AE64</f>
        <v>5057</v>
      </c>
      <c r="AK64" s="146">
        <f>'[1]App 5-Organics'!X64+'[1]App 5-Organics'!AF64</f>
        <v>5</v>
      </c>
      <c r="AL64" s="147">
        <f>'[1]App 6-Residual Waste'!AC64+'[1]App 6-Residual Waste'!AI64</f>
        <v>13798.470000000001</v>
      </c>
      <c r="AM64" s="147">
        <f>'[1]App 6-Residual Waste'!AD64+'[1]App 6-Residual Waste'!AJ64</f>
        <v>108.84</v>
      </c>
      <c r="AN64" s="147">
        <f>'[1]App 6-Residual Waste'!AE64+'[1]App 6-Residual Waste'!AK64</f>
        <v>13689.630000000001</v>
      </c>
      <c r="AO64" s="140"/>
      <c r="AP64" s="147">
        <f t="shared" si="9"/>
        <v>23250.325686930439</v>
      </c>
      <c r="AQ64" s="147">
        <f t="shared" si="9"/>
        <v>9432.9056869304368</v>
      </c>
      <c r="AR64" s="147">
        <f t="shared" si="9"/>
        <v>13816.480000000001</v>
      </c>
      <c r="AS64" s="148">
        <f t="shared" si="10"/>
        <v>0.40571069041982916</v>
      </c>
    </row>
    <row r="65" spans="1:45" ht="15.75" x14ac:dyDescent="0.25">
      <c r="A65" s="8">
        <v>14400</v>
      </c>
      <c r="B65" s="8" t="s">
        <v>127</v>
      </c>
      <c r="C65" s="8" t="s">
        <v>41</v>
      </c>
      <c r="D65" s="29" t="s">
        <v>2</v>
      </c>
      <c r="E65" s="145"/>
      <c r="F65" s="146">
        <f>'App 4 - Recyclables'!V65</f>
        <v>3503.8261360004281</v>
      </c>
      <c r="G65" s="146">
        <f>'App 4 - Recyclables'!W65</f>
        <v>3389.3261360004281</v>
      </c>
      <c r="H65" s="146">
        <f>'App 4 - Recyclables'!X65</f>
        <v>114.5</v>
      </c>
      <c r="I65" s="146">
        <f>'App 5 - Organics'!V65</f>
        <v>6268.9699999999993</v>
      </c>
      <c r="J65" s="146">
        <f>'App 5 - Organics'!W65</f>
        <v>6246.3799999999992</v>
      </c>
      <c r="K65" s="146">
        <f>'App 5 - Organics'!X65</f>
        <v>22.59</v>
      </c>
      <c r="L65" s="147">
        <f>'App 6 - Residual Waste'!AC65</f>
        <v>3663.7000000000003</v>
      </c>
      <c r="M65" s="147">
        <f>'App 6 - Residual Waste'!AD65</f>
        <v>503.01</v>
      </c>
      <c r="N65" s="147">
        <f>'App 6 - Residual Waste'!AE65</f>
        <v>3160.69</v>
      </c>
      <c r="O65" s="140"/>
      <c r="P65" s="147">
        <f t="shared" si="11"/>
        <v>13436.496136000427</v>
      </c>
      <c r="Q65" s="147">
        <f t="shared" si="11"/>
        <v>10138.716136000427</v>
      </c>
      <c r="R65" s="147">
        <f t="shared" si="11"/>
        <v>3297.78</v>
      </c>
      <c r="S65" s="148">
        <f t="shared" si="1"/>
        <v>0.75456547848331879</v>
      </c>
      <c r="U65" s="149">
        <f>(P65*1000)/'App 1 - Services'!F65/52</f>
        <v>10.909611841315039</v>
      </c>
      <c r="V65" s="149">
        <f>(P65*1000)/'App 1 - Services'!G65/52</f>
        <v>20.856740371421957</v>
      </c>
      <c r="X65" s="150">
        <f t="shared" si="2"/>
        <v>0.75456547848331879</v>
      </c>
      <c r="Y65" s="151">
        <f t="shared" si="3"/>
        <v>3503.8261360004281</v>
      </c>
      <c r="Z65" s="152">
        <f t="shared" si="4"/>
        <v>0.26076933305645217</v>
      </c>
      <c r="AA65" s="151">
        <f t="shared" si="5"/>
        <v>6268.9699999999993</v>
      </c>
      <c r="AB65" s="152">
        <f t="shared" si="6"/>
        <v>0.4665628551184216</v>
      </c>
      <c r="AC65" s="151">
        <f t="shared" si="7"/>
        <v>3663.7000000000003</v>
      </c>
      <c r="AD65" s="152">
        <f t="shared" si="8"/>
        <v>0.27266781182512623</v>
      </c>
      <c r="AF65" s="146">
        <f>'[1]App 4-Recyclables'!V65+'[1]App 4-Recyclables'!AB65</f>
        <v>3503.8261360004281</v>
      </c>
      <c r="AG65" s="146">
        <f>'[1]App 4-Recyclables'!W65+'[1]App 4-Recyclables'!AC65</f>
        <v>3389.3261360004281</v>
      </c>
      <c r="AH65" s="146">
        <f>'[1]App 4-Recyclables'!X65+'[1]App 4-Recyclables'!AD65</f>
        <v>114.5</v>
      </c>
      <c r="AI65" s="146">
        <f>'[1]App 5-Organics'!V65+'[1]App 5-Organics'!AD65</f>
        <v>6268.9699999999993</v>
      </c>
      <c r="AJ65" s="146">
        <f>'[1]App 5-Organics'!W65+'[1]App 5-Organics'!AE65</f>
        <v>6246.3799999999992</v>
      </c>
      <c r="AK65" s="146">
        <f>'[1]App 5-Organics'!X65+'[1]App 5-Organics'!AF65</f>
        <v>22.59</v>
      </c>
      <c r="AL65" s="147">
        <f>'[1]App 6-Residual Waste'!AC65+'[1]App 6-Residual Waste'!AI65</f>
        <v>3803.05</v>
      </c>
      <c r="AM65" s="147">
        <f>'[1]App 6-Residual Waste'!AD65+'[1]App 6-Residual Waste'!AJ65</f>
        <v>582.01</v>
      </c>
      <c r="AN65" s="147">
        <f>'[1]App 6-Residual Waste'!AE65+'[1]App 6-Residual Waste'!AK65</f>
        <v>3221.04</v>
      </c>
      <c r="AO65" s="140"/>
      <c r="AP65" s="147">
        <f t="shared" si="9"/>
        <v>13575.846136000426</v>
      </c>
      <c r="AQ65" s="147">
        <f t="shared" si="9"/>
        <v>10217.716136000427</v>
      </c>
      <c r="AR65" s="147">
        <f t="shared" si="9"/>
        <v>3358.13</v>
      </c>
      <c r="AS65" s="148">
        <f t="shared" si="10"/>
        <v>0.75263935917077673</v>
      </c>
    </row>
    <row r="66" spans="1:45" ht="15.75" x14ac:dyDescent="0.25">
      <c r="A66" s="8">
        <v>14500</v>
      </c>
      <c r="B66" s="8" t="s">
        <v>58</v>
      </c>
      <c r="C66" s="8" t="s">
        <v>26</v>
      </c>
      <c r="D66" s="29" t="s">
        <v>3</v>
      </c>
      <c r="E66" s="145"/>
      <c r="F66" s="146">
        <f>'App 4 - Recyclables'!V66</f>
        <v>10661.634347337367</v>
      </c>
      <c r="G66" s="146">
        <f>'App 4 - Recyclables'!W66</f>
        <v>10232.004347337368</v>
      </c>
      <c r="H66" s="146">
        <f>'App 4 - Recyclables'!X66</f>
        <v>429.63</v>
      </c>
      <c r="I66" s="146">
        <f>'App 5 - Organics'!V66</f>
        <v>20878.259999999998</v>
      </c>
      <c r="J66" s="146">
        <f>'App 5 - Organics'!W66</f>
        <v>20878.259999999998</v>
      </c>
      <c r="K66" s="146">
        <f>'App 5 - Organics'!X66</f>
        <v>0</v>
      </c>
      <c r="L66" s="147">
        <f>'App 6 - Residual Waste'!AC66</f>
        <v>26847.15</v>
      </c>
      <c r="M66" s="147">
        <f>'App 6 - Residual Waste'!AD66</f>
        <v>4401.63</v>
      </c>
      <c r="N66" s="147">
        <f>'App 6 - Residual Waste'!AE66</f>
        <v>22445.52</v>
      </c>
      <c r="O66" s="140"/>
      <c r="P66" s="147">
        <f t="shared" si="11"/>
        <v>58387.044347337367</v>
      </c>
      <c r="Q66" s="147">
        <f t="shared" si="11"/>
        <v>35511.894347337366</v>
      </c>
      <c r="R66" s="147">
        <f t="shared" si="11"/>
        <v>22875.15</v>
      </c>
      <c r="S66" s="148">
        <f t="shared" si="1"/>
        <v>0.60821531119269301</v>
      </c>
      <c r="U66" s="149">
        <f>(P66*1000)/'App 1 - Services'!F66/52</f>
        <v>8.7993838382352596</v>
      </c>
      <c r="V66" s="149">
        <f>(P66*1000)/'App 1 - Services'!G66/52</f>
        <v>25.192456269022525</v>
      </c>
      <c r="X66" s="150">
        <f t="shared" si="2"/>
        <v>0.60821531119269301</v>
      </c>
      <c r="Y66" s="151">
        <f t="shared" si="3"/>
        <v>10661.634347337367</v>
      </c>
      <c r="Z66" s="152">
        <f t="shared" si="4"/>
        <v>0.18260274118197545</v>
      </c>
      <c r="AA66" s="151">
        <f t="shared" si="5"/>
        <v>20878.259999999998</v>
      </c>
      <c r="AB66" s="152">
        <f t="shared" si="6"/>
        <v>0.35758377964463811</v>
      </c>
      <c r="AC66" s="151">
        <f t="shared" si="7"/>
        <v>26847.15</v>
      </c>
      <c r="AD66" s="152">
        <f t="shared" si="8"/>
        <v>0.45981347917338644</v>
      </c>
      <c r="AF66" s="146">
        <f>'[1]App 4-Recyclables'!V66+'[1]App 4-Recyclables'!AB66</f>
        <v>10661.634347337367</v>
      </c>
      <c r="AG66" s="146">
        <f>'[1]App 4-Recyclables'!W66+'[1]App 4-Recyclables'!AC66</f>
        <v>10232.004347337368</v>
      </c>
      <c r="AH66" s="146">
        <f>'[1]App 4-Recyclables'!X66+'[1]App 4-Recyclables'!AD66</f>
        <v>429.63</v>
      </c>
      <c r="AI66" s="146">
        <f>'[1]App 5-Organics'!V66+'[1]App 5-Organics'!AD66</f>
        <v>23822.1</v>
      </c>
      <c r="AJ66" s="146">
        <f>'[1]App 5-Organics'!W66+'[1]App 5-Organics'!AE66</f>
        <v>23821.26</v>
      </c>
      <c r="AK66" s="146">
        <f>'[1]App 5-Organics'!X66+'[1]App 5-Organics'!AF66</f>
        <v>0</v>
      </c>
      <c r="AL66" s="147">
        <f>'[1]App 6-Residual Waste'!AC66+'[1]App 6-Residual Waste'!AI66</f>
        <v>27129.81</v>
      </c>
      <c r="AM66" s="147">
        <f>'[1]App 6-Residual Waste'!AD66+'[1]App 6-Residual Waste'!AJ66</f>
        <v>4401.63</v>
      </c>
      <c r="AN66" s="147">
        <f>'[1]App 6-Residual Waste'!AE66+'[1]App 6-Residual Waste'!AK66</f>
        <v>22728.18</v>
      </c>
      <c r="AO66" s="140"/>
      <c r="AP66" s="147">
        <f t="shared" si="9"/>
        <v>61613.54434733736</v>
      </c>
      <c r="AQ66" s="147">
        <f t="shared" si="9"/>
        <v>38454.894347337366</v>
      </c>
      <c r="AR66" s="147">
        <f t="shared" si="9"/>
        <v>23157.81</v>
      </c>
      <c r="AS66" s="148">
        <f t="shared" si="10"/>
        <v>0.62413053419802489</v>
      </c>
    </row>
    <row r="67" spans="1:45" ht="15.75" x14ac:dyDescent="0.25">
      <c r="A67" s="8">
        <v>14550</v>
      </c>
      <c r="B67" s="8" t="s">
        <v>128</v>
      </c>
      <c r="C67" s="8" t="s">
        <v>20</v>
      </c>
      <c r="D67" s="29" t="s">
        <v>4</v>
      </c>
      <c r="E67" s="145"/>
      <c r="F67" s="146">
        <f>'App 4 - Recyclables'!V67</f>
        <v>1443.3526962017797</v>
      </c>
      <c r="G67" s="146">
        <f>'App 4 - Recyclables'!W67</f>
        <v>1428.0726962017798</v>
      </c>
      <c r="H67" s="146">
        <f>'App 4 - Recyclables'!X67</f>
        <v>15.28</v>
      </c>
      <c r="I67" s="146">
        <f>'App 5 - Organics'!V67</f>
        <v>253.46</v>
      </c>
      <c r="J67" s="146">
        <f>'App 5 - Organics'!W67</f>
        <v>253.46</v>
      </c>
      <c r="K67" s="146">
        <f>'App 5 - Organics'!X67</f>
        <v>0</v>
      </c>
      <c r="L67" s="147">
        <f>'App 6 - Residual Waste'!AC67</f>
        <v>2745.08</v>
      </c>
      <c r="M67" s="147">
        <f>'App 6 - Residual Waste'!AD67</f>
        <v>10.93</v>
      </c>
      <c r="N67" s="147">
        <f>'App 6 - Residual Waste'!AE67</f>
        <v>2734.15</v>
      </c>
      <c r="O67" s="140"/>
      <c r="P67" s="147">
        <f t="shared" si="11"/>
        <v>4441.8926962017795</v>
      </c>
      <c r="Q67" s="147">
        <f t="shared" si="11"/>
        <v>1692.4626962017799</v>
      </c>
      <c r="R67" s="147">
        <f t="shared" si="11"/>
        <v>2749.4300000000003</v>
      </c>
      <c r="S67" s="148">
        <f t="shared" si="1"/>
        <v>0.38102286839323896</v>
      </c>
      <c r="U67" s="149">
        <f>(P67*1000)/'App 1 - Services'!F67/52</f>
        <v>9.7201881416130824</v>
      </c>
      <c r="V67" s="149">
        <f>(P67*1000)/'App 1 - Services'!G67/52</f>
        <v>21.133353139162733</v>
      </c>
      <c r="X67" s="150">
        <f t="shared" si="2"/>
        <v>0.38102286839323896</v>
      </c>
      <c r="Y67" s="151">
        <f t="shared" si="3"/>
        <v>1443.3526962017797</v>
      </c>
      <c r="Z67" s="152">
        <f t="shared" si="4"/>
        <v>0.32494091931486258</v>
      </c>
      <c r="AA67" s="151">
        <f t="shared" si="5"/>
        <v>253.46</v>
      </c>
      <c r="AB67" s="152">
        <f t="shared" si="6"/>
        <v>5.7061261344005736E-2</v>
      </c>
      <c r="AC67" s="151">
        <f t="shared" si="7"/>
        <v>2745.08</v>
      </c>
      <c r="AD67" s="152">
        <f t="shared" si="8"/>
        <v>0.61799781934113174</v>
      </c>
      <c r="AF67" s="146">
        <f>'[1]App 4-Recyclables'!V67+'[1]App 4-Recyclables'!AB67</f>
        <v>1443.3526962017797</v>
      </c>
      <c r="AG67" s="146">
        <f>'[1]App 4-Recyclables'!W67+'[1]App 4-Recyclables'!AC67</f>
        <v>1428.0726962017798</v>
      </c>
      <c r="AH67" s="146">
        <f>'[1]App 4-Recyclables'!X67+'[1]App 4-Recyclables'!AD67</f>
        <v>15.28</v>
      </c>
      <c r="AI67" s="146">
        <f>'[1]App 5-Organics'!V67+'[1]App 5-Organics'!AD67</f>
        <v>253.46</v>
      </c>
      <c r="AJ67" s="146">
        <f>'[1]App 5-Organics'!W67+'[1]App 5-Organics'!AE67</f>
        <v>253.46</v>
      </c>
      <c r="AK67" s="146">
        <f>'[1]App 5-Organics'!X67+'[1]App 5-Organics'!AF67</f>
        <v>0</v>
      </c>
      <c r="AL67" s="147">
        <f>'[1]App 6-Residual Waste'!AC67+'[1]App 6-Residual Waste'!AI67</f>
        <v>2745.08</v>
      </c>
      <c r="AM67" s="147">
        <f>'[1]App 6-Residual Waste'!AD67+'[1]App 6-Residual Waste'!AJ67</f>
        <v>10.93</v>
      </c>
      <c r="AN67" s="147">
        <f>'[1]App 6-Residual Waste'!AE67+'[1]App 6-Residual Waste'!AK67</f>
        <v>2734.15</v>
      </c>
      <c r="AO67" s="140"/>
      <c r="AP67" s="147">
        <f t="shared" si="9"/>
        <v>4441.8926962017795</v>
      </c>
      <c r="AQ67" s="147">
        <f t="shared" si="9"/>
        <v>1692.4626962017799</v>
      </c>
      <c r="AR67" s="147">
        <f t="shared" si="9"/>
        <v>2749.4300000000003</v>
      </c>
      <c r="AS67" s="148">
        <f t="shared" si="10"/>
        <v>0.38102286839323896</v>
      </c>
    </row>
    <row r="68" spans="1:45" ht="15.75" x14ac:dyDescent="0.25">
      <c r="A68" s="8">
        <v>14600</v>
      </c>
      <c r="B68" s="8" t="s">
        <v>129</v>
      </c>
      <c r="C68" s="8" t="s">
        <v>42</v>
      </c>
      <c r="D68" s="29" t="s">
        <v>1</v>
      </c>
      <c r="E68" s="145"/>
      <c r="F68" s="146">
        <f>'App 4 - Recyclables'!V68</f>
        <v>1278.5975774890805</v>
      </c>
      <c r="G68" s="146">
        <f>'App 4 - Recyclables'!W68</f>
        <v>1261.5975774890805</v>
      </c>
      <c r="H68" s="146">
        <f>'App 4 - Recyclables'!X68</f>
        <v>17</v>
      </c>
      <c r="I68" s="146">
        <f>'App 5 - Organics'!V68</f>
        <v>2631</v>
      </c>
      <c r="J68" s="146">
        <f>'App 5 - Organics'!W68</f>
        <v>1121</v>
      </c>
      <c r="K68" s="146">
        <f>'App 5 - Organics'!X68</f>
        <v>1510</v>
      </c>
      <c r="L68" s="147">
        <f>'App 6 - Residual Waste'!AC68</f>
        <v>6055</v>
      </c>
      <c r="M68" s="147">
        <f>'App 6 - Residual Waste'!AD68</f>
        <v>10</v>
      </c>
      <c r="N68" s="147">
        <f>'App 6 - Residual Waste'!AE68</f>
        <v>6045</v>
      </c>
      <c r="O68" s="140"/>
      <c r="P68" s="147">
        <f t="shared" si="11"/>
        <v>9964.5975774890794</v>
      </c>
      <c r="Q68" s="147">
        <f t="shared" si="11"/>
        <v>2392.5975774890803</v>
      </c>
      <c r="R68" s="147">
        <f t="shared" si="11"/>
        <v>7572</v>
      </c>
      <c r="S68" s="148">
        <f t="shared" si="1"/>
        <v>0.24010980462413986</v>
      </c>
      <c r="U68" s="149">
        <f>(P68*1000)/'App 1 - Services'!F68/52</f>
        <v>31.470993018586732</v>
      </c>
      <c r="V68" s="149">
        <f>(P68*1000)/'App 1 - Services'!G68/52</f>
        <v>44.982834856848505</v>
      </c>
      <c r="X68" s="150">
        <f t="shared" si="2"/>
        <v>0.24010980462413986</v>
      </c>
      <c r="Y68" s="151">
        <f t="shared" si="3"/>
        <v>1278.5975774890805</v>
      </c>
      <c r="Z68" s="152">
        <f t="shared" si="4"/>
        <v>0.12831402046556775</v>
      </c>
      <c r="AA68" s="151">
        <f t="shared" si="5"/>
        <v>2631</v>
      </c>
      <c r="AB68" s="152">
        <f t="shared" si="6"/>
        <v>0.26403474696696888</v>
      </c>
      <c r="AC68" s="151">
        <f t="shared" si="7"/>
        <v>6055</v>
      </c>
      <c r="AD68" s="152">
        <f t="shared" si="8"/>
        <v>0.60765123256746345</v>
      </c>
      <c r="AF68" s="146">
        <f>'[1]App 4-Recyclables'!V68+'[1]App 4-Recyclables'!AB68</f>
        <v>1278.5975774890805</v>
      </c>
      <c r="AG68" s="146">
        <f>'[1]App 4-Recyclables'!W68+'[1]App 4-Recyclables'!AC68</f>
        <v>1261.5975774890805</v>
      </c>
      <c r="AH68" s="146">
        <f>'[1]App 4-Recyclables'!X68+'[1]App 4-Recyclables'!AD68</f>
        <v>17</v>
      </c>
      <c r="AI68" s="146">
        <f>'[1]App 5-Organics'!V68+'[1]App 5-Organics'!AD68</f>
        <v>2631</v>
      </c>
      <c r="AJ68" s="146">
        <f>'[1]App 5-Organics'!W68+'[1]App 5-Organics'!AE68</f>
        <v>1121</v>
      </c>
      <c r="AK68" s="146">
        <f>'[1]App 5-Organics'!X68+'[1]App 5-Organics'!AF68</f>
        <v>1510</v>
      </c>
      <c r="AL68" s="147">
        <f>'[1]App 6-Residual Waste'!AC68+'[1]App 6-Residual Waste'!AI68</f>
        <v>6055</v>
      </c>
      <c r="AM68" s="147">
        <f>'[1]App 6-Residual Waste'!AD68+'[1]App 6-Residual Waste'!AJ68</f>
        <v>10</v>
      </c>
      <c r="AN68" s="147">
        <f>'[1]App 6-Residual Waste'!AE68+'[1]App 6-Residual Waste'!AK68</f>
        <v>6045</v>
      </c>
      <c r="AO68" s="140"/>
      <c r="AP68" s="147">
        <f t="shared" si="9"/>
        <v>9964.5975774890794</v>
      </c>
      <c r="AQ68" s="147">
        <f t="shared" si="9"/>
        <v>2392.5975774890803</v>
      </c>
      <c r="AR68" s="147">
        <f t="shared" si="9"/>
        <v>7572</v>
      </c>
      <c r="AS68" s="148">
        <f t="shared" si="10"/>
        <v>0.24010980462413986</v>
      </c>
    </row>
    <row r="69" spans="1:45" ht="15.75" x14ac:dyDescent="0.25">
      <c r="A69" s="8">
        <v>14650</v>
      </c>
      <c r="B69" s="8" t="s">
        <v>130</v>
      </c>
      <c r="C69" s="8" t="s">
        <v>25</v>
      </c>
      <c r="D69" s="29" t="s">
        <v>2</v>
      </c>
      <c r="E69" s="145"/>
      <c r="F69" s="146">
        <f>'App 4 - Recyclables'!V69</f>
        <v>23937.588455175846</v>
      </c>
      <c r="G69" s="146">
        <f>'App 4 - Recyclables'!W69</f>
        <v>21887.588455175846</v>
      </c>
      <c r="H69" s="146">
        <f>'App 4 - Recyclables'!X69</f>
        <v>2050</v>
      </c>
      <c r="I69" s="146">
        <f>'App 5 - Organics'!V69</f>
        <v>42295.6</v>
      </c>
      <c r="J69" s="146">
        <f>'App 5 - Organics'!W69</f>
        <v>41520.6</v>
      </c>
      <c r="K69" s="146">
        <f>'App 5 - Organics'!X69</f>
        <v>775</v>
      </c>
      <c r="L69" s="147">
        <f>'App 6 - Residual Waste'!AC69</f>
        <v>51839</v>
      </c>
      <c r="M69" s="147">
        <f>'App 6 - Residual Waste'!AD69</f>
        <v>114</v>
      </c>
      <c r="N69" s="147">
        <f>'App 6 - Residual Waste'!AE69</f>
        <v>51725</v>
      </c>
      <c r="O69" s="140"/>
      <c r="P69" s="147">
        <f t="shared" ref="P69:R100" si="12">F69+I69+L69</f>
        <v>118072.18845517584</v>
      </c>
      <c r="Q69" s="147">
        <f t="shared" si="12"/>
        <v>63522.188455175841</v>
      </c>
      <c r="R69" s="147">
        <f t="shared" si="12"/>
        <v>54550</v>
      </c>
      <c r="S69" s="148">
        <f t="shared" ref="S69:S132" si="13">Q69/P69</f>
        <v>0.53799450392410564</v>
      </c>
      <c r="U69" s="149">
        <f>(P69*1000)/'App 1 - Services'!F69/52</f>
        <v>10.928258976072105</v>
      </c>
      <c r="V69" s="149">
        <f>(P69*1000)/'App 1 - Services'!G69/52</f>
        <v>26.06461583829859</v>
      </c>
      <c r="X69" s="150">
        <f t="shared" ref="X69:X132" si="14">S69</f>
        <v>0.53799450392410564</v>
      </c>
      <c r="Y69" s="151">
        <f t="shared" ref="Y69:Y132" si="15">F69</f>
        <v>23937.588455175846</v>
      </c>
      <c r="Z69" s="152">
        <f t="shared" ref="Z69:Z132" si="16">Y69/P69</f>
        <v>0.20273689145910392</v>
      </c>
      <c r="AA69" s="151">
        <f t="shared" ref="AA69:AA132" si="17">I69</f>
        <v>42295.6</v>
      </c>
      <c r="AB69" s="152">
        <f t="shared" ref="AB69:AB132" si="18">AA69/P69</f>
        <v>0.35821814225165161</v>
      </c>
      <c r="AC69" s="151">
        <f t="shared" ref="AC69:AC132" si="19">L69</f>
        <v>51839</v>
      </c>
      <c r="AD69" s="152">
        <f t="shared" ref="AD69:AD132" si="20">AC69/P69</f>
        <v>0.4390449662892445</v>
      </c>
      <c r="AF69" s="146">
        <f>'[1]App 4-Recyclables'!V69+'[1]App 4-Recyclables'!AB69</f>
        <v>23937.588455175846</v>
      </c>
      <c r="AG69" s="146">
        <f>'[1]App 4-Recyclables'!W69+'[1]App 4-Recyclables'!AC69</f>
        <v>21887.588455175846</v>
      </c>
      <c r="AH69" s="146">
        <f>'[1]App 4-Recyclables'!X69+'[1]App 4-Recyclables'!AD69</f>
        <v>2050</v>
      </c>
      <c r="AI69" s="146">
        <f>'[1]App 5-Organics'!V69+'[1]App 5-Organics'!AD69</f>
        <v>42979.6</v>
      </c>
      <c r="AJ69" s="146">
        <f>'[1]App 5-Organics'!W69+'[1]App 5-Organics'!AE69</f>
        <v>42204.6</v>
      </c>
      <c r="AK69" s="146">
        <f>'[1]App 5-Organics'!X69+'[1]App 5-Organics'!AF69</f>
        <v>775</v>
      </c>
      <c r="AL69" s="147">
        <f>'[1]App 6-Residual Waste'!AC69+'[1]App 6-Residual Waste'!AI69</f>
        <v>52919</v>
      </c>
      <c r="AM69" s="147">
        <f>'[1]App 6-Residual Waste'!AD69+'[1]App 6-Residual Waste'!AJ69</f>
        <v>114</v>
      </c>
      <c r="AN69" s="147">
        <f>'[1]App 6-Residual Waste'!AE69+'[1]App 6-Residual Waste'!AK69</f>
        <v>52805</v>
      </c>
      <c r="AO69" s="140"/>
      <c r="AP69" s="147">
        <f t="shared" si="9"/>
        <v>119836.18845517584</v>
      </c>
      <c r="AQ69" s="147">
        <f t="shared" si="9"/>
        <v>64206.188455175841</v>
      </c>
      <c r="AR69" s="147">
        <f t="shared" si="9"/>
        <v>55630</v>
      </c>
      <c r="AS69" s="148">
        <f t="shared" si="10"/>
        <v>0.53578296575405404</v>
      </c>
    </row>
    <row r="70" spans="1:45" ht="15.75" x14ac:dyDescent="0.25">
      <c r="A70" s="8">
        <v>14700</v>
      </c>
      <c r="B70" s="8" t="s">
        <v>59</v>
      </c>
      <c r="C70" s="8" t="s">
        <v>26</v>
      </c>
      <c r="D70" s="29" t="s">
        <v>3</v>
      </c>
      <c r="E70" s="145"/>
      <c r="F70" s="146">
        <f>'App 4 - Recyclables'!V70</f>
        <v>3412.2769394190973</v>
      </c>
      <c r="G70" s="146">
        <f>'App 4 - Recyclables'!W70</f>
        <v>3292.6569394190974</v>
      </c>
      <c r="H70" s="146">
        <f>'App 4 - Recyclables'!X70</f>
        <v>119.62</v>
      </c>
      <c r="I70" s="146">
        <f>'App 5 - Organics'!V70</f>
        <v>3293</v>
      </c>
      <c r="J70" s="146">
        <f>'App 5 - Organics'!W70</f>
        <v>3293</v>
      </c>
      <c r="K70" s="146">
        <f>'App 5 - Organics'!X70</f>
        <v>0</v>
      </c>
      <c r="L70" s="147">
        <f>'App 6 - Residual Waste'!AC70</f>
        <v>8315</v>
      </c>
      <c r="M70" s="147">
        <f>'App 6 - Residual Waste'!AD70</f>
        <v>1161</v>
      </c>
      <c r="N70" s="147">
        <f>'App 6 - Residual Waste'!AE70</f>
        <v>7154</v>
      </c>
      <c r="O70" s="140"/>
      <c r="P70" s="147">
        <f t="shared" si="12"/>
        <v>15020.276939419098</v>
      </c>
      <c r="Q70" s="147">
        <f t="shared" si="12"/>
        <v>7746.6569394190974</v>
      </c>
      <c r="R70" s="147">
        <f t="shared" si="12"/>
        <v>7273.62</v>
      </c>
      <c r="S70" s="148">
        <f t="shared" si="13"/>
        <v>0.51574661177443615</v>
      </c>
      <c r="U70" s="149">
        <f>(P70*1000)/'App 1 - Services'!F70/52</f>
        <v>7.1261528495636615</v>
      </c>
      <c r="V70" s="149">
        <f>(P70*1000)/'App 1 - Services'!G70/52</f>
        <v>15.877939731981828</v>
      </c>
      <c r="X70" s="150">
        <f t="shared" si="14"/>
        <v>0.51574661177443615</v>
      </c>
      <c r="Y70" s="151">
        <f t="shared" si="15"/>
        <v>3412.2769394190973</v>
      </c>
      <c r="Z70" s="152">
        <f t="shared" si="16"/>
        <v>0.22717803094987843</v>
      </c>
      <c r="AA70" s="151">
        <f t="shared" si="17"/>
        <v>3293</v>
      </c>
      <c r="AB70" s="152">
        <f t="shared" si="18"/>
        <v>0.21923696968315387</v>
      </c>
      <c r="AC70" s="151">
        <f t="shared" si="19"/>
        <v>8315</v>
      </c>
      <c r="AD70" s="152">
        <f t="shared" si="20"/>
        <v>0.55358499936696759</v>
      </c>
      <c r="AF70" s="146">
        <f>'[1]App 4-Recyclables'!V70+'[1]App 4-Recyclables'!AB70</f>
        <v>3412.2769394190973</v>
      </c>
      <c r="AG70" s="146">
        <f>'[1]App 4-Recyclables'!W70+'[1]App 4-Recyclables'!AC70</f>
        <v>3292.6569394190974</v>
      </c>
      <c r="AH70" s="146">
        <f>'[1]App 4-Recyclables'!X70+'[1]App 4-Recyclables'!AD70</f>
        <v>119.62</v>
      </c>
      <c r="AI70" s="146">
        <f>'[1]App 5-Organics'!V70+'[1]App 5-Organics'!AD70</f>
        <v>3293</v>
      </c>
      <c r="AJ70" s="146">
        <f>'[1]App 5-Organics'!W70+'[1]App 5-Organics'!AE70</f>
        <v>3293</v>
      </c>
      <c r="AK70" s="146">
        <f>'[1]App 5-Organics'!X70+'[1]App 5-Organics'!AF70</f>
        <v>0</v>
      </c>
      <c r="AL70" s="147">
        <f>'[1]App 6-Residual Waste'!AC70+'[1]App 6-Residual Waste'!AI70</f>
        <v>8315</v>
      </c>
      <c r="AM70" s="147">
        <f>'[1]App 6-Residual Waste'!AD70+'[1]App 6-Residual Waste'!AJ70</f>
        <v>1161</v>
      </c>
      <c r="AN70" s="147">
        <f>'[1]App 6-Residual Waste'!AE70+'[1]App 6-Residual Waste'!AK70</f>
        <v>7154</v>
      </c>
      <c r="AO70" s="140"/>
      <c r="AP70" s="147">
        <f t="shared" ref="AP70:AR132" si="21">AF70+AI70+AL70</f>
        <v>15020.276939419098</v>
      </c>
      <c r="AQ70" s="147">
        <f t="shared" si="21"/>
        <v>7746.6569394190974</v>
      </c>
      <c r="AR70" s="147">
        <f t="shared" si="21"/>
        <v>7273.62</v>
      </c>
      <c r="AS70" s="148">
        <f t="shared" ref="AS70:AS132" si="22">AQ70/AP70</f>
        <v>0.51574661177443615</v>
      </c>
    </row>
    <row r="71" spans="1:45" ht="15.75" x14ac:dyDescent="0.25">
      <c r="A71" s="8">
        <v>14750</v>
      </c>
      <c r="B71" s="8" t="s">
        <v>131</v>
      </c>
      <c r="C71" s="8" t="s">
        <v>75</v>
      </c>
      <c r="D71" s="29" t="s">
        <v>1</v>
      </c>
      <c r="E71" s="145"/>
      <c r="F71" s="146">
        <f>'App 4 - Recyclables'!V71</f>
        <v>812.62145454960205</v>
      </c>
      <c r="G71" s="146">
        <f>'App 4 - Recyclables'!W71</f>
        <v>789.24145454960194</v>
      </c>
      <c r="H71" s="146">
        <f>'App 4 - Recyclables'!X71</f>
        <v>23.38</v>
      </c>
      <c r="I71" s="146">
        <f>'App 5 - Organics'!V71</f>
        <v>0</v>
      </c>
      <c r="J71" s="146">
        <f>'App 5 - Organics'!W71</f>
        <v>0</v>
      </c>
      <c r="K71" s="146">
        <f>'App 5 - Organics'!X71</f>
        <v>0</v>
      </c>
      <c r="L71" s="147">
        <f>'App 6 - Residual Waste'!AC71</f>
        <v>2960.96</v>
      </c>
      <c r="M71" s="147">
        <f>'App 6 - Residual Waste'!AD71</f>
        <v>0</v>
      </c>
      <c r="N71" s="147">
        <f>'App 6 - Residual Waste'!AE71</f>
        <v>2960.96</v>
      </c>
      <c r="O71" s="140"/>
      <c r="P71" s="147">
        <f t="shared" si="12"/>
        <v>3773.5814545496023</v>
      </c>
      <c r="Q71" s="147">
        <f t="shared" si="12"/>
        <v>789.24145454960194</v>
      </c>
      <c r="R71" s="147">
        <f t="shared" si="12"/>
        <v>2984.34</v>
      </c>
      <c r="S71" s="148">
        <f t="shared" si="13"/>
        <v>0.20914917673184352</v>
      </c>
      <c r="U71" s="149">
        <f>(P71*1000)/'App 1 - Services'!F71/52</f>
        <v>6.397679108344696</v>
      </c>
      <c r="V71" s="149">
        <f>(P71*1000)/'App 1 - Services'!G71/52</f>
        <v>17.40260770406568</v>
      </c>
      <c r="X71" s="150">
        <f t="shared" si="14"/>
        <v>0.20914917673184352</v>
      </c>
      <c r="Y71" s="151">
        <f t="shared" si="15"/>
        <v>812.62145454960205</v>
      </c>
      <c r="Z71" s="152">
        <f t="shared" si="16"/>
        <v>0.21534488239809121</v>
      </c>
      <c r="AA71" s="151">
        <f t="shared" si="17"/>
        <v>0</v>
      </c>
      <c r="AB71" s="152">
        <f t="shared" si="18"/>
        <v>0</v>
      </c>
      <c r="AC71" s="151">
        <f t="shared" si="19"/>
        <v>2960.96</v>
      </c>
      <c r="AD71" s="152">
        <f t="shared" si="20"/>
        <v>0.78465511760190876</v>
      </c>
      <c r="AF71" s="146">
        <f>'[1]App 4-Recyclables'!V71+'[1]App 4-Recyclables'!AB71</f>
        <v>812.98145454960206</v>
      </c>
      <c r="AG71" s="146">
        <f>'[1]App 4-Recyclables'!W71+'[1]App 4-Recyclables'!AC71</f>
        <v>789.24145454960194</v>
      </c>
      <c r="AH71" s="146">
        <f>'[1]App 4-Recyclables'!X71+'[1]App 4-Recyclables'!AD71</f>
        <v>23.38</v>
      </c>
      <c r="AI71" s="146">
        <f>'[1]App 5-Organics'!V71+'[1]App 5-Organics'!AD71</f>
        <v>183.22</v>
      </c>
      <c r="AJ71" s="146">
        <f>'[1]App 5-Organics'!W71+'[1]App 5-Organics'!AE71</f>
        <v>183</v>
      </c>
      <c r="AK71" s="146">
        <f>'[1]App 5-Organics'!X71+'[1]App 5-Organics'!AF71</f>
        <v>0</v>
      </c>
      <c r="AL71" s="147">
        <f>'[1]App 6-Residual Waste'!AC71+'[1]App 6-Residual Waste'!AI71</f>
        <v>3784.82</v>
      </c>
      <c r="AM71" s="147">
        <f>'[1]App 6-Residual Waste'!AD71+'[1]App 6-Residual Waste'!AJ71</f>
        <v>772</v>
      </c>
      <c r="AN71" s="147">
        <f>'[1]App 6-Residual Waste'!AE71+'[1]App 6-Residual Waste'!AK71</f>
        <v>3012.2200000000003</v>
      </c>
      <c r="AO71" s="140"/>
      <c r="AP71" s="147">
        <f t="shared" si="21"/>
        <v>4781.0214545496019</v>
      </c>
      <c r="AQ71" s="147">
        <f t="shared" si="21"/>
        <v>1744.2414545496019</v>
      </c>
      <c r="AR71" s="147">
        <f t="shared" si="21"/>
        <v>3035.6000000000004</v>
      </c>
      <c r="AS71" s="148">
        <f t="shared" si="22"/>
        <v>0.3648261090503554</v>
      </c>
    </row>
    <row r="72" spans="1:45" ht="15.75" x14ac:dyDescent="0.25">
      <c r="A72" s="8">
        <v>14850</v>
      </c>
      <c r="B72" s="8" t="s">
        <v>132</v>
      </c>
      <c r="C72" s="8" t="s">
        <v>20</v>
      </c>
      <c r="D72" s="29" t="s">
        <v>4</v>
      </c>
      <c r="E72" s="145"/>
      <c r="F72" s="146">
        <f>'App 4 - Recyclables'!V72</f>
        <v>5784.1287190610437</v>
      </c>
      <c r="G72" s="146">
        <f>'App 4 - Recyclables'!W72</f>
        <v>5709.0387190610436</v>
      </c>
      <c r="H72" s="146">
        <f>'App 4 - Recyclables'!X72</f>
        <v>75.09</v>
      </c>
      <c r="I72" s="146">
        <f>'App 5 - Organics'!V72</f>
        <v>7235</v>
      </c>
      <c r="J72" s="146">
        <f>'App 5 - Organics'!W72</f>
        <v>7235</v>
      </c>
      <c r="K72" s="146">
        <f>'App 5 - Organics'!X72</f>
        <v>0</v>
      </c>
      <c r="L72" s="147">
        <f>'App 6 - Residual Waste'!AC72</f>
        <v>13577</v>
      </c>
      <c r="M72" s="147">
        <f>'App 6 - Residual Waste'!AD72</f>
        <v>5853</v>
      </c>
      <c r="N72" s="147">
        <f>'App 6 - Residual Waste'!AE72</f>
        <v>7724</v>
      </c>
      <c r="O72" s="140"/>
      <c r="P72" s="147">
        <f t="shared" si="12"/>
        <v>26596.128719061046</v>
      </c>
      <c r="Q72" s="147">
        <f t="shared" si="12"/>
        <v>18797.038719061042</v>
      </c>
      <c r="R72" s="147">
        <f t="shared" si="12"/>
        <v>7799.09</v>
      </c>
      <c r="S72" s="148">
        <f t="shared" si="13"/>
        <v>0.70675845036008889</v>
      </c>
      <c r="U72" s="149">
        <f>(P72*1000)/'App 1 - Services'!F72/52</f>
        <v>11.712826936315686</v>
      </c>
      <c r="V72" s="149">
        <f>(P72*1000)/'App 1 - Services'!G72/52</f>
        <v>27.416993504588426</v>
      </c>
      <c r="X72" s="150">
        <f t="shared" si="14"/>
        <v>0.70675845036008889</v>
      </c>
      <c r="Y72" s="151">
        <f t="shared" si="15"/>
        <v>5784.1287190610437</v>
      </c>
      <c r="Z72" s="152">
        <f t="shared" si="16"/>
        <v>0.21748009945957456</v>
      </c>
      <c r="AA72" s="151">
        <f t="shared" si="17"/>
        <v>7235</v>
      </c>
      <c r="AB72" s="152">
        <f t="shared" si="18"/>
        <v>0.27203207190130585</v>
      </c>
      <c r="AC72" s="151">
        <f t="shared" si="19"/>
        <v>13577</v>
      </c>
      <c r="AD72" s="152">
        <f t="shared" si="20"/>
        <v>0.51048782863911946</v>
      </c>
      <c r="AF72" s="146">
        <f>'[1]App 4-Recyclables'!V72+'[1]App 4-Recyclables'!AB72</f>
        <v>5786.1287190610437</v>
      </c>
      <c r="AG72" s="146">
        <f>'[1]App 4-Recyclables'!W72+'[1]App 4-Recyclables'!AC72</f>
        <v>5711.0387190610436</v>
      </c>
      <c r="AH72" s="146">
        <f>'[1]App 4-Recyclables'!X72+'[1]App 4-Recyclables'!AD72</f>
        <v>75.09</v>
      </c>
      <c r="AI72" s="146">
        <f>'[1]App 5-Organics'!V72+'[1]App 5-Organics'!AD72</f>
        <v>7359</v>
      </c>
      <c r="AJ72" s="146">
        <f>'[1]App 5-Organics'!W72+'[1]App 5-Organics'!AE72</f>
        <v>7359</v>
      </c>
      <c r="AK72" s="146">
        <f>'[1]App 5-Organics'!X72+'[1]App 5-Organics'!AF72</f>
        <v>0</v>
      </c>
      <c r="AL72" s="147">
        <f>'[1]App 6-Residual Waste'!AC72+'[1]App 6-Residual Waste'!AI72</f>
        <v>13972</v>
      </c>
      <c r="AM72" s="147">
        <f>'[1]App 6-Residual Waste'!AD72+'[1]App 6-Residual Waste'!AJ72</f>
        <v>5853</v>
      </c>
      <c r="AN72" s="147">
        <f>'[1]App 6-Residual Waste'!AE72+'[1]App 6-Residual Waste'!AK72</f>
        <v>8119</v>
      </c>
      <c r="AO72" s="140"/>
      <c r="AP72" s="147">
        <f t="shared" si="21"/>
        <v>27117.128719061046</v>
      </c>
      <c r="AQ72" s="147">
        <f t="shared" si="21"/>
        <v>18923.038719061042</v>
      </c>
      <c r="AR72" s="147">
        <f t="shared" si="21"/>
        <v>8194.09</v>
      </c>
      <c r="AS72" s="148">
        <f t="shared" si="22"/>
        <v>0.69782604622737021</v>
      </c>
    </row>
    <row r="73" spans="1:45" ht="15.75" x14ac:dyDescent="0.25">
      <c r="A73" s="8">
        <v>14870</v>
      </c>
      <c r="B73" s="8" t="s">
        <v>133</v>
      </c>
      <c r="C73" s="8" t="s">
        <v>42</v>
      </c>
      <c r="D73" s="29" t="s">
        <v>1</v>
      </c>
      <c r="E73" s="145"/>
      <c r="F73" s="146">
        <f>'App 4 - Recyclables'!V73</f>
        <v>2530.7979467808145</v>
      </c>
      <c r="G73" s="146">
        <f>'App 4 - Recyclables'!W73</f>
        <v>2482.6679467808144</v>
      </c>
      <c r="H73" s="146">
        <f>'App 4 - Recyclables'!X73</f>
        <v>48.13</v>
      </c>
      <c r="I73" s="146">
        <f>'App 5 - Organics'!V73</f>
        <v>21.44</v>
      </c>
      <c r="J73" s="146">
        <f>'App 5 - Organics'!W73</f>
        <v>21.44</v>
      </c>
      <c r="K73" s="146">
        <f>'App 5 - Organics'!X73</f>
        <v>0</v>
      </c>
      <c r="L73" s="147">
        <f>'App 6 - Residual Waste'!AC73</f>
        <v>26546.47</v>
      </c>
      <c r="M73" s="147">
        <f>'App 6 - Residual Waste'!AD73</f>
        <v>31.78</v>
      </c>
      <c r="N73" s="147">
        <f>'App 6 - Residual Waste'!AE73</f>
        <v>26514.690000000002</v>
      </c>
      <c r="O73" s="140"/>
      <c r="P73" s="147">
        <f t="shared" si="12"/>
        <v>29098.707946780814</v>
      </c>
      <c r="Q73" s="147">
        <f t="shared" si="12"/>
        <v>2535.8879467808147</v>
      </c>
      <c r="R73" s="147">
        <f t="shared" si="12"/>
        <v>26562.820000000003</v>
      </c>
      <c r="S73" s="148">
        <f t="shared" si="13"/>
        <v>8.7147785098181982E-2</v>
      </c>
      <c r="U73" s="149">
        <f>(P73*1000)/'App 1 - Services'!F73/52</f>
        <v>26.00811198355143</v>
      </c>
      <c r="V73" s="149">
        <f>(P73*1000)/'App 1 - Services'!G73/52</f>
        <v>48.374009114634561</v>
      </c>
      <c r="X73" s="150">
        <f t="shared" si="14"/>
        <v>8.7147785098181982E-2</v>
      </c>
      <c r="Y73" s="151">
        <f t="shared" si="15"/>
        <v>2530.7979467808145</v>
      </c>
      <c r="Z73" s="152">
        <f t="shared" si="16"/>
        <v>8.6972863242225029E-2</v>
      </c>
      <c r="AA73" s="151">
        <f t="shared" si="17"/>
        <v>21.44</v>
      </c>
      <c r="AB73" s="152">
        <f t="shared" si="18"/>
        <v>7.3680247381471473E-4</v>
      </c>
      <c r="AC73" s="151">
        <f t="shared" si="19"/>
        <v>26546.47</v>
      </c>
      <c r="AD73" s="152">
        <f t="shared" si="20"/>
        <v>0.91229033428396034</v>
      </c>
      <c r="AF73" s="146">
        <f>'[1]App 4-Recyclables'!V73+'[1]App 4-Recyclables'!AB73</f>
        <v>2530.7979467808145</v>
      </c>
      <c r="AG73" s="146">
        <f>'[1]App 4-Recyclables'!W73+'[1]App 4-Recyclables'!AC73</f>
        <v>2482.6679467808144</v>
      </c>
      <c r="AH73" s="146">
        <f>'[1]App 4-Recyclables'!X73+'[1]App 4-Recyclables'!AD73</f>
        <v>48.13</v>
      </c>
      <c r="AI73" s="146">
        <f>'[1]App 5-Organics'!V73+'[1]App 5-Organics'!AD73</f>
        <v>21.44</v>
      </c>
      <c r="AJ73" s="146">
        <f>'[1]App 5-Organics'!W73+'[1]App 5-Organics'!AE73</f>
        <v>21.44</v>
      </c>
      <c r="AK73" s="146">
        <f>'[1]App 5-Organics'!X73+'[1]App 5-Organics'!AF73</f>
        <v>0</v>
      </c>
      <c r="AL73" s="147">
        <f>'[1]App 6-Residual Waste'!AC73+'[1]App 6-Residual Waste'!AI73</f>
        <v>26546.47</v>
      </c>
      <c r="AM73" s="147">
        <f>'[1]App 6-Residual Waste'!AD73+'[1]App 6-Residual Waste'!AJ73</f>
        <v>31.78</v>
      </c>
      <c r="AN73" s="147">
        <f>'[1]App 6-Residual Waste'!AE73+'[1]App 6-Residual Waste'!AK73</f>
        <v>26514.690000000002</v>
      </c>
      <c r="AO73" s="140"/>
      <c r="AP73" s="147">
        <f t="shared" si="21"/>
        <v>29098.707946780814</v>
      </c>
      <c r="AQ73" s="147">
        <f t="shared" si="21"/>
        <v>2535.8879467808147</v>
      </c>
      <c r="AR73" s="147">
        <f t="shared" si="21"/>
        <v>26562.820000000003</v>
      </c>
      <c r="AS73" s="148">
        <f t="shared" si="22"/>
        <v>8.7147785098181982E-2</v>
      </c>
    </row>
    <row r="74" spans="1:45" ht="15.75" x14ac:dyDescent="0.25">
      <c r="A74" s="8">
        <v>14900</v>
      </c>
      <c r="B74" s="8" t="s">
        <v>60</v>
      </c>
      <c r="C74" s="8" t="s">
        <v>19</v>
      </c>
      <c r="D74" s="29" t="s">
        <v>3</v>
      </c>
      <c r="E74" s="145"/>
      <c r="F74" s="146">
        <f>'App 4 - Recyclables'!V74</f>
        <v>19368.33825985339</v>
      </c>
      <c r="G74" s="146">
        <f>'App 4 - Recyclables'!W74</f>
        <v>17779.42825985339</v>
      </c>
      <c r="H74" s="146">
        <f>'App 4 - Recyclables'!X74</f>
        <v>1588.91</v>
      </c>
      <c r="I74" s="146">
        <f>'App 5 - Organics'!V74</f>
        <v>19735.2</v>
      </c>
      <c r="J74" s="146">
        <f>'App 5 - Organics'!W74</f>
        <v>19143.14</v>
      </c>
      <c r="K74" s="146">
        <f>'App 5 - Organics'!X74</f>
        <v>592.05999999999995</v>
      </c>
      <c r="L74" s="147">
        <f>'App 6 - Residual Waste'!AC74</f>
        <v>60559.62000000001</v>
      </c>
      <c r="M74" s="147">
        <f>'App 6 - Residual Waste'!AD74</f>
        <v>3266</v>
      </c>
      <c r="N74" s="147">
        <f>'App 6 - Residual Waste'!AE74</f>
        <v>57293.62000000001</v>
      </c>
      <c r="O74" s="140"/>
      <c r="P74" s="147">
        <f t="shared" si="12"/>
        <v>99663.158259853401</v>
      </c>
      <c r="Q74" s="147">
        <f t="shared" si="12"/>
        <v>40188.568259853389</v>
      </c>
      <c r="R74" s="147">
        <f t="shared" si="12"/>
        <v>59474.590000000011</v>
      </c>
      <c r="S74" s="148">
        <f t="shared" si="13"/>
        <v>0.40324397662643874</v>
      </c>
      <c r="U74" s="149">
        <f>(P74*1000)/'App 1 - Services'!F74/52</f>
        <v>8.2863482174567356</v>
      </c>
      <c r="V74" s="149">
        <f>(P74*1000)/'App 1 - Services'!G74/52</f>
        <v>25.319689247844977</v>
      </c>
      <c r="X74" s="150">
        <f t="shared" si="14"/>
        <v>0.40324397662643874</v>
      </c>
      <c r="Y74" s="151">
        <f t="shared" si="15"/>
        <v>19368.33825985339</v>
      </c>
      <c r="Z74" s="152">
        <f t="shared" si="16"/>
        <v>0.19433799407955749</v>
      </c>
      <c r="AA74" s="151">
        <f t="shared" si="17"/>
        <v>19735.2</v>
      </c>
      <c r="AB74" s="152">
        <f t="shared" si="18"/>
        <v>0.19801901068140032</v>
      </c>
      <c r="AC74" s="151">
        <f t="shared" si="19"/>
        <v>60559.62000000001</v>
      </c>
      <c r="AD74" s="152">
        <f t="shared" si="20"/>
        <v>0.60764299523904219</v>
      </c>
      <c r="AF74" s="146">
        <f>'[1]App 4-Recyclables'!V74+'[1]App 4-Recyclables'!AB74</f>
        <v>19368.33825985339</v>
      </c>
      <c r="AG74" s="146">
        <f>'[1]App 4-Recyclables'!W74+'[1]App 4-Recyclables'!AC74</f>
        <v>17779.42825985339</v>
      </c>
      <c r="AH74" s="146">
        <f>'[1]App 4-Recyclables'!X74+'[1]App 4-Recyclables'!AD74</f>
        <v>1588.91</v>
      </c>
      <c r="AI74" s="146">
        <f>'[1]App 5-Organics'!V74+'[1]App 5-Organics'!AD74</f>
        <v>19735.2</v>
      </c>
      <c r="AJ74" s="146">
        <f>'[1]App 5-Organics'!W74+'[1]App 5-Organics'!AE74</f>
        <v>19143.14</v>
      </c>
      <c r="AK74" s="146">
        <f>'[1]App 5-Organics'!X74+'[1]App 5-Organics'!AF74</f>
        <v>592.05999999999995</v>
      </c>
      <c r="AL74" s="147">
        <f>'[1]App 6-Residual Waste'!AC74+'[1]App 6-Residual Waste'!AI74</f>
        <v>60559.62000000001</v>
      </c>
      <c r="AM74" s="147">
        <f>'[1]App 6-Residual Waste'!AD74+'[1]App 6-Residual Waste'!AJ74</f>
        <v>3266</v>
      </c>
      <c r="AN74" s="147">
        <f>'[1]App 6-Residual Waste'!AE74+'[1]App 6-Residual Waste'!AK74</f>
        <v>57293.62000000001</v>
      </c>
      <c r="AO74" s="140"/>
      <c r="AP74" s="147">
        <f t="shared" si="21"/>
        <v>99663.158259853401</v>
      </c>
      <c r="AQ74" s="147">
        <f t="shared" si="21"/>
        <v>40188.568259853389</v>
      </c>
      <c r="AR74" s="147">
        <f t="shared" si="21"/>
        <v>59474.590000000011</v>
      </c>
      <c r="AS74" s="148">
        <f t="shared" si="22"/>
        <v>0.40324397662643874</v>
      </c>
    </row>
    <row r="75" spans="1:45" ht="15.75" x14ac:dyDescent="0.25">
      <c r="A75" s="8">
        <v>14920</v>
      </c>
      <c r="B75" s="8" t="s">
        <v>134</v>
      </c>
      <c r="C75" s="8" t="s">
        <v>17</v>
      </c>
      <c r="D75" s="29" t="s">
        <v>1</v>
      </c>
      <c r="E75" s="145"/>
      <c r="F75" s="146">
        <f>'App 4 - Recyclables'!V75</f>
        <v>495.91214320229506</v>
      </c>
      <c r="G75" s="146">
        <f>'App 4 - Recyclables'!W75</f>
        <v>478.94214320229503</v>
      </c>
      <c r="H75" s="146">
        <f>'App 4 - Recyclables'!X75</f>
        <v>16.97</v>
      </c>
      <c r="I75" s="146">
        <f>'App 5 - Organics'!V75</f>
        <v>20</v>
      </c>
      <c r="J75" s="146">
        <f>'App 5 - Organics'!W75</f>
        <v>0</v>
      </c>
      <c r="K75" s="146">
        <f>'App 5 - Organics'!X75</f>
        <v>20</v>
      </c>
      <c r="L75" s="147">
        <f>'App 6 - Residual Waste'!AC75</f>
        <v>2275</v>
      </c>
      <c r="M75" s="147">
        <f>'App 6 - Residual Waste'!AD75</f>
        <v>90</v>
      </c>
      <c r="N75" s="147">
        <f>'App 6 - Residual Waste'!AE75</f>
        <v>2185</v>
      </c>
      <c r="O75" s="140"/>
      <c r="P75" s="147">
        <f t="shared" si="12"/>
        <v>2790.9121432022948</v>
      </c>
      <c r="Q75" s="147">
        <f t="shared" si="12"/>
        <v>568.94214320229503</v>
      </c>
      <c r="R75" s="147">
        <f t="shared" si="12"/>
        <v>2221.9699999999998</v>
      </c>
      <c r="S75" s="148">
        <f t="shared" si="13"/>
        <v>0.20385526810223784</v>
      </c>
      <c r="U75" s="149">
        <f>(P75*1000)/'App 1 - Services'!F75/52</f>
        <v>6.834507496405819</v>
      </c>
      <c r="V75" s="149">
        <f>(P75*1000)/'App 1 - Services'!G75/52</f>
        <v>18.99872119266368</v>
      </c>
      <c r="X75" s="150">
        <f t="shared" si="14"/>
        <v>0.20385526810223784</v>
      </c>
      <c r="Y75" s="151">
        <f t="shared" si="15"/>
        <v>495.91214320229506</v>
      </c>
      <c r="Z75" s="152">
        <f t="shared" si="16"/>
        <v>0.17768819574280295</v>
      </c>
      <c r="AA75" s="151">
        <f t="shared" si="17"/>
        <v>20</v>
      </c>
      <c r="AB75" s="152">
        <f t="shared" si="18"/>
        <v>7.1661159412391906E-3</v>
      </c>
      <c r="AC75" s="151">
        <f t="shared" si="19"/>
        <v>2275</v>
      </c>
      <c r="AD75" s="152">
        <f t="shared" si="20"/>
        <v>0.81514568831595791</v>
      </c>
      <c r="AF75" s="146">
        <f>'[1]App 4-Recyclables'!V75+'[1]App 4-Recyclables'!AB75</f>
        <v>495.91214320229506</v>
      </c>
      <c r="AG75" s="146">
        <f>'[1]App 4-Recyclables'!W75+'[1]App 4-Recyclables'!AC75</f>
        <v>478.94214320229503</v>
      </c>
      <c r="AH75" s="146">
        <f>'[1]App 4-Recyclables'!X75+'[1]App 4-Recyclables'!AD75</f>
        <v>16.97</v>
      </c>
      <c r="AI75" s="146">
        <f>'[1]App 5-Organics'!V75+'[1]App 5-Organics'!AD75</f>
        <v>20</v>
      </c>
      <c r="AJ75" s="146">
        <f>'[1]App 5-Organics'!W75+'[1]App 5-Organics'!AE75</f>
        <v>0</v>
      </c>
      <c r="AK75" s="146">
        <f>'[1]App 5-Organics'!X75+'[1]App 5-Organics'!AF75</f>
        <v>20</v>
      </c>
      <c r="AL75" s="147">
        <f>'[1]App 6-Residual Waste'!AC75+'[1]App 6-Residual Waste'!AI75</f>
        <v>2276</v>
      </c>
      <c r="AM75" s="147">
        <f>'[1]App 6-Residual Waste'!AD75+'[1]App 6-Residual Waste'!AJ75</f>
        <v>90</v>
      </c>
      <c r="AN75" s="147">
        <f>'[1]App 6-Residual Waste'!AE75+'[1]App 6-Residual Waste'!AK75</f>
        <v>2186</v>
      </c>
      <c r="AO75" s="140"/>
      <c r="AP75" s="147">
        <f t="shared" si="21"/>
        <v>2791.9121432022948</v>
      </c>
      <c r="AQ75" s="147">
        <f t="shared" si="21"/>
        <v>568.94214320229503</v>
      </c>
      <c r="AR75" s="147">
        <f t="shared" si="21"/>
        <v>2222.9699999999998</v>
      </c>
      <c r="AS75" s="148">
        <f t="shared" si="22"/>
        <v>0.20378225174010103</v>
      </c>
    </row>
    <row r="76" spans="1:45" ht="15.75" x14ac:dyDescent="0.25">
      <c r="A76" s="8">
        <v>14950</v>
      </c>
      <c r="B76" s="8" t="s">
        <v>135</v>
      </c>
      <c r="C76" s="8" t="s">
        <v>22</v>
      </c>
      <c r="D76" s="29" t="s">
        <v>1</v>
      </c>
      <c r="E76" s="145"/>
      <c r="F76" s="146">
        <f>'App 4 - Recyclables'!V76</f>
        <v>157.5</v>
      </c>
      <c r="G76" s="146">
        <f>'App 4 - Recyclables'!W76</f>
        <v>151.44999999999999</v>
      </c>
      <c r="H76" s="146">
        <f>'App 4 - Recyclables'!X76</f>
        <v>6.05</v>
      </c>
      <c r="I76" s="146">
        <f>'App 5 - Organics'!V76</f>
        <v>833.06</v>
      </c>
      <c r="J76" s="146">
        <f>'App 5 - Organics'!W76</f>
        <v>833.06</v>
      </c>
      <c r="K76" s="146">
        <f>'App 5 - Organics'!X76</f>
        <v>0</v>
      </c>
      <c r="L76" s="147">
        <f>'App 6 - Residual Waste'!AC76</f>
        <v>1053.73</v>
      </c>
      <c r="M76" s="147">
        <f>'App 6 - Residual Waste'!AD76</f>
        <v>0</v>
      </c>
      <c r="N76" s="147">
        <f>'App 6 - Residual Waste'!AE76</f>
        <v>1053.73</v>
      </c>
      <c r="O76" s="140"/>
      <c r="P76" s="147">
        <f t="shared" si="12"/>
        <v>2044.29</v>
      </c>
      <c r="Q76" s="147">
        <f t="shared" si="12"/>
        <v>984.51</v>
      </c>
      <c r="R76" s="147">
        <f t="shared" si="12"/>
        <v>1059.78</v>
      </c>
      <c r="S76" s="148">
        <f t="shared" si="13"/>
        <v>0.48159018534552339</v>
      </c>
      <c r="U76" s="149">
        <f>(P76*1000)/'App 1 - Services'!F76/52</f>
        <v>12.06298534236552</v>
      </c>
      <c r="V76" s="149">
        <f>(P76*1000)/'App 1 - Services'!G76/52</f>
        <v>14.880117044197286</v>
      </c>
      <c r="X76" s="150">
        <f t="shared" si="14"/>
        <v>0.48159018534552339</v>
      </c>
      <c r="Y76" s="151">
        <f t="shared" si="15"/>
        <v>157.5</v>
      </c>
      <c r="Z76" s="152">
        <f t="shared" si="16"/>
        <v>7.7043863639698867E-2</v>
      </c>
      <c r="AA76" s="151">
        <f t="shared" si="17"/>
        <v>833.06</v>
      </c>
      <c r="AB76" s="152">
        <f t="shared" si="18"/>
        <v>0.4075057844043653</v>
      </c>
      <c r="AC76" s="151">
        <f t="shared" si="19"/>
        <v>1053.73</v>
      </c>
      <c r="AD76" s="152">
        <f t="shared" si="20"/>
        <v>0.5154503519559358</v>
      </c>
      <c r="AF76" s="146">
        <f>'[1]App 4-Recyclables'!V76+'[1]App 4-Recyclables'!AB76</f>
        <v>157.5</v>
      </c>
      <c r="AG76" s="146">
        <f>'[1]App 4-Recyclables'!W76+'[1]App 4-Recyclables'!AC76</f>
        <v>151.44999999999999</v>
      </c>
      <c r="AH76" s="146">
        <f>'[1]App 4-Recyclables'!X76+'[1]App 4-Recyclables'!AD76</f>
        <v>6.05</v>
      </c>
      <c r="AI76" s="146">
        <f>'[1]App 5-Organics'!V76+'[1]App 5-Organics'!AD76</f>
        <v>833.06</v>
      </c>
      <c r="AJ76" s="146">
        <f>'[1]App 5-Organics'!W76+'[1]App 5-Organics'!AE76</f>
        <v>833.06</v>
      </c>
      <c r="AK76" s="146">
        <f>'[1]App 5-Organics'!X76+'[1]App 5-Organics'!AF76</f>
        <v>0</v>
      </c>
      <c r="AL76" s="147">
        <f>'[1]App 6-Residual Waste'!AC76+'[1]App 6-Residual Waste'!AI76</f>
        <v>1053.73</v>
      </c>
      <c r="AM76" s="147">
        <f>'[1]App 6-Residual Waste'!AD76+'[1]App 6-Residual Waste'!AJ76</f>
        <v>0</v>
      </c>
      <c r="AN76" s="147">
        <f>'[1]App 6-Residual Waste'!AE76+'[1]App 6-Residual Waste'!AK76</f>
        <v>1053.73</v>
      </c>
      <c r="AO76" s="140"/>
      <c r="AP76" s="147">
        <f t="shared" si="21"/>
        <v>2044.29</v>
      </c>
      <c r="AQ76" s="147">
        <f t="shared" si="21"/>
        <v>984.51</v>
      </c>
      <c r="AR76" s="147">
        <f t="shared" si="21"/>
        <v>1059.78</v>
      </c>
      <c r="AS76" s="148">
        <f t="shared" si="22"/>
        <v>0.48159018534552339</v>
      </c>
    </row>
    <row r="77" spans="1:45" ht="15.75" x14ac:dyDescent="0.25">
      <c r="A77" s="8">
        <v>15050</v>
      </c>
      <c r="B77" s="8" t="s">
        <v>136</v>
      </c>
      <c r="C77" s="8" t="s">
        <v>25</v>
      </c>
      <c r="D77" s="29" t="s">
        <v>2</v>
      </c>
      <c r="E77" s="145"/>
      <c r="F77" s="146">
        <f>'App 4 - Recyclables'!V77</f>
        <v>8597.4578153920957</v>
      </c>
      <c r="G77" s="146">
        <f>'App 4 - Recyclables'!W77</f>
        <v>8254.6078153920953</v>
      </c>
      <c r="H77" s="146">
        <f>'App 4 - Recyclables'!X77</f>
        <v>342.85</v>
      </c>
      <c r="I77" s="146">
        <f>'App 5 - Organics'!V77</f>
        <v>12171</v>
      </c>
      <c r="J77" s="146">
        <f>'App 5 - Organics'!W77</f>
        <v>12156.15</v>
      </c>
      <c r="K77" s="146">
        <f>'App 5 - Organics'!X77</f>
        <v>14.85</v>
      </c>
      <c r="L77" s="147">
        <f>'App 6 - Residual Waste'!AC77</f>
        <v>29683.599999999999</v>
      </c>
      <c r="M77" s="147">
        <f>'App 6 - Residual Waste'!AD77</f>
        <v>89</v>
      </c>
      <c r="N77" s="147">
        <f>'App 6 - Residual Waste'!AE77</f>
        <v>29594.6</v>
      </c>
      <c r="O77" s="140"/>
      <c r="P77" s="147">
        <f t="shared" si="12"/>
        <v>50452.057815392094</v>
      </c>
      <c r="Q77" s="147">
        <f t="shared" si="12"/>
        <v>20499.757815392095</v>
      </c>
      <c r="R77" s="147">
        <f t="shared" si="12"/>
        <v>29952.3</v>
      </c>
      <c r="S77" s="148">
        <f t="shared" si="13"/>
        <v>0.40632153975566793</v>
      </c>
      <c r="U77" s="149">
        <f>(P77*1000)/'App 1 - Services'!F77/52</f>
        <v>11.101686378685653</v>
      </c>
      <c r="V77" s="149">
        <f>(P77*1000)/'App 1 - Services'!G77/52</f>
        <v>27.093881068562762</v>
      </c>
      <c r="X77" s="150">
        <f t="shared" si="14"/>
        <v>0.40632153975566793</v>
      </c>
      <c r="Y77" s="151">
        <f t="shared" si="15"/>
        <v>8597.4578153920957</v>
      </c>
      <c r="Z77" s="152">
        <f t="shared" si="16"/>
        <v>0.17040846672401047</v>
      </c>
      <c r="AA77" s="151">
        <f t="shared" si="17"/>
        <v>12171</v>
      </c>
      <c r="AB77" s="152">
        <f t="shared" si="18"/>
        <v>0.24123892120584281</v>
      </c>
      <c r="AC77" s="151">
        <f t="shared" si="19"/>
        <v>29683.599999999999</v>
      </c>
      <c r="AD77" s="152">
        <f t="shared" si="20"/>
        <v>0.58835261207014666</v>
      </c>
      <c r="AF77" s="146">
        <f>'[1]App 4-Recyclables'!V77+'[1]App 4-Recyclables'!AB77</f>
        <v>8597.4578153920957</v>
      </c>
      <c r="AG77" s="146">
        <f>'[1]App 4-Recyclables'!W77+'[1]App 4-Recyclables'!AC77</f>
        <v>8254.6078153920953</v>
      </c>
      <c r="AH77" s="146">
        <f>'[1]App 4-Recyclables'!X77+'[1]App 4-Recyclables'!AD77</f>
        <v>342.85</v>
      </c>
      <c r="AI77" s="146">
        <f>'[1]App 5-Organics'!V77+'[1]App 5-Organics'!AD77</f>
        <v>12373</v>
      </c>
      <c r="AJ77" s="146">
        <f>'[1]App 5-Organics'!W77+'[1]App 5-Organics'!AE77</f>
        <v>12358.15</v>
      </c>
      <c r="AK77" s="146">
        <f>'[1]App 5-Organics'!X77+'[1]App 5-Organics'!AF77</f>
        <v>14.85</v>
      </c>
      <c r="AL77" s="147">
        <f>'[1]App 6-Residual Waste'!AC77+'[1]App 6-Residual Waste'!AI77</f>
        <v>31499.599999999999</v>
      </c>
      <c r="AM77" s="147">
        <f>'[1]App 6-Residual Waste'!AD77+'[1]App 6-Residual Waste'!AJ77</f>
        <v>89</v>
      </c>
      <c r="AN77" s="147">
        <f>'[1]App 6-Residual Waste'!AE77+'[1]App 6-Residual Waste'!AK77</f>
        <v>31410.6</v>
      </c>
      <c r="AO77" s="140"/>
      <c r="AP77" s="147">
        <f t="shared" si="21"/>
        <v>52470.057815392094</v>
      </c>
      <c r="AQ77" s="147">
        <f t="shared" si="21"/>
        <v>20701.757815392095</v>
      </c>
      <c r="AR77" s="147">
        <f t="shared" si="21"/>
        <v>31768.3</v>
      </c>
      <c r="AS77" s="148">
        <f t="shared" si="22"/>
        <v>0.39454421583120941</v>
      </c>
    </row>
    <row r="78" spans="1:45" ht="15.75" x14ac:dyDescent="0.25">
      <c r="A78" s="8">
        <v>15240</v>
      </c>
      <c r="B78" s="8" t="s">
        <v>137</v>
      </c>
      <c r="C78" s="8" t="s">
        <v>43</v>
      </c>
      <c r="D78" s="29" t="s">
        <v>4</v>
      </c>
      <c r="E78" s="145"/>
      <c r="F78" s="146">
        <f>'App 4 - Recyclables'!V78</f>
        <v>15853.300828853358</v>
      </c>
      <c r="G78" s="146">
        <f>'App 4 - Recyclables'!W78</f>
        <v>15209.360828853358</v>
      </c>
      <c r="H78" s="146">
        <f>'App 4 - Recyclables'!X78</f>
        <v>643.94000000000005</v>
      </c>
      <c r="I78" s="146">
        <f>'App 5 - Organics'!V78</f>
        <v>14319.7</v>
      </c>
      <c r="J78" s="146">
        <f>'App 5 - Organics'!W78</f>
        <v>14319.7</v>
      </c>
      <c r="K78" s="146">
        <f>'App 5 - Organics'!X78</f>
        <v>0</v>
      </c>
      <c r="L78" s="147">
        <f>'App 6 - Residual Waste'!AC78</f>
        <v>48970.310000000005</v>
      </c>
      <c r="M78" s="147">
        <f>'App 6 - Residual Waste'!AD78</f>
        <v>0</v>
      </c>
      <c r="N78" s="147">
        <f>'App 6 - Residual Waste'!AE78</f>
        <v>48970.310000000005</v>
      </c>
      <c r="O78" s="140"/>
      <c r="P78" s="147">
        <f t="shared" si="12"/>
        <v>79143.310828853369</v>
      </c>
      <c r="Q78" s="147">
        <f t="shared" si="12"/>
        <v>29529.060828853359</v>
      </c>
      <c r="R78" s="147">
        <f t="shared" si="12"/>
        <v>49614.250000000007</v>
      </c>
      <c r="S78" s="148">
        <f t="shared" si="13"/>
        <v>0.3731087380550665</v>
      </c>
      <c r="U78" s="149">
        <f>(P78*1000)/'App 1 - Services'!F78/52</f>
        <v>16.12359496486804</v>
      </c>
      <c r="V78" s="149">
        <f>(P78*1000)/'App 1 - Services'!G78/52</f>
        <v>32.108747636309758</v>
      </c>
      <c r="X78" s="150">
        <f t="shared" si="14"/>
        <v>0.3731087380550665</v>
      </c>
      <c r="Y78" s="151">
        <f t="shared" si="15"/>
        <v>15853.300828853358</v>
      </c>
      <c r="Z78" s="152">
        <f t="shared" si="16"/>
        <v>0.20031131706299179</v>
      </c>
      <c r="AA78" s="151">
        <f t="shared" si="17"/>
        <v>14319.7</v>
      </c>
      <c r="AB78" s="152">
        <f t="shared" si="18"/>
        <v>0.1809338003431043</v>
      </c>
      <c r="AC78" s="151">
        <f t="shared" si="19"/>
        <v>48970.310000000005</v>
      </c>
      <c r="AD78" s="152">
        <f t="shared" si="20"/>
        <v>0.61875488259390388</v>
      </c>
      <c r="AF78" s="146">
        <f>'[1]App 4-Recyclables'!V78+'[1]App 4-Recyclables'!AB78</f>
        <v>15853.300828853358</v>
      </c>
      <c r="AG78" s="146">
        <f>'[1]App 4-Recyclables'!W78+'[1]App 4-Recyclables'!AC78</f>
        <v>15209.360828853358</v>
      </c>
      <c r="AH78" s="146">
        <f>'[1]App 4-Recyclables'!X78+'[1]App 4-Recyclables'!AD78</f>
        <v>643.94000000000005</v>
      </c>
      <c r="AI78" s="146">
        <f>'[1]App 5-Organics'!V78+'[1]App 5-Organics'!AD78</f>
        <v>14319.7</v>
      </c>
      <c r="AJ78" s="146">
        <f>'[1]App 5-Organics'!W78+'[1]App 5-Organics'!AE78</f>
        <v>14319.7</v>
      </c>
      <c r="AK78" s="146">
        <f>'[1]App 5-Organics'!X78+'[1]App 5-Organics'!AF78</f>
        <v>0</v>
      </c>
      <c r="AL78" s="147">
        <f>'[1]App 6-Residual Waste'!AC78+'[1]App 6-Residual Waste'!AI78</f>
        <v>48970.310000000005</v>
      </c>
      <c r="AM78" s="147">
        <f>'[1]App 6-Residual Waste'!AD78+'[1]App 6-Residual Waste'!AJ78</f>
        <v>0</v>
      </c>
      <c r="AN78" s="147">
        <f>'[1]App 6-Residual Waste'!AE78+'[1]App 6-Residual Waste'!AK78</f>
        <v>48970.310000000005</v>
      </c>
      <c r="AO78" s="140"/>
      <c r="AP78" s="147">
        <f t="shared" si="21"/>
        <v>79143.310828853369</v>
      </c>
      <c r="AQ78" s="147">
        <f t="shared" si="21"/>
        <v>29529.060828853359</v>
      </c>
      <c r="AR78" s="147">
        <f t="shared" si="21"/>
        <v>49614.250000000007</v>
      </c>
      <c r="AS78" s="148">
        <f t="shared" si="22"/>
        <v>0.3731087380550665</v>
      </c>
    </row>
    <row r="79" spans="1:45" ht="15.75" x14ac:dyDescent="0.25">
      <c r="A79" s="8">
        <v>15270</v>
      </c>
      <c r="B79" s="8" t="s">
        <v>138</v>
      </c>
      <c r="C79" s="8" t="s">
        <v>42</v>
      </c>
      <c r="D79" s="29" t="s">
        <v>1</v>
      </c>
      <c r="E79" s="145"/>
      <c r="F79" s="146">
        <f>'App 4 - Recyclables'!V79</f>
        <v>3374.8191971281176</v>
      </c>
      <c r="G79" s="146">
        <f>'App 4 - Recyclables'!W79</f>
        <v>3009.2091971281179</v>
      </c>
      <c r="H79" s="146">
        <f>'App 4 - Recyclables'!X79</f>
        <v>365.61</v>
      </c>
      <c r="I79" s="146">
        <f>'App 5 - Organics'!V79</f>
        <v>4066.74</v>
      </c>
      <c r="J79" s="146">
        <f>'App 5 - Organics'!W79</f>
        <v>4066.74</v>
      </c>
      <c r="K79" s="146">
        <f>'App 5 - Organics'!X79</f>
        <v>0</v>
      </c>
      <c r="L79" s="147">
        <f>'App 6 - Residual Waste'!AC79</f>
        <v>13466.720000000001</v>
      </c>
      <c r="M79" s="147">
        <f>'App 6 - Residual Waste'!AD79</f>
        <v>36.42</v>
      </c>
      <c r="N79" s="147">
        <f>'App 6 - Residual Waste'!AE79</f>
        <v>13430.3</v>
      </c>
      <c r="O79" s="140"/>
      <c r="P79" s="147">
        <f t="shared" si="12"/>
        <v>20908.279197128119</v>
      </c>
      <c r="Q79" s="147">
        <f t="shared" si="12"/>
        <v>7112.3691971281178</v>
      </c>
      <c r="R79" s="147">
        <f t="shared" si="12"/>
        <v>13795.91</v>
      </c>
      <c r="S79" s="148">
        <f t="shared" si="13"/>
        <v>0.34016999343040366</v>
      </c>
      <c r="U79" s="149">
        <f>(P79*1000)/'App 1 - Services'!F79/52</f>
        <v>15.850604811466228</v>
      </c>
      <c r="V79" s="149">
        <f>(P79*1000)/'App 1 - Services'!G79/52</f>
        <v>25.784422999388468</v>
      </c>
      <c r="X79" s="150">
        <f t="shared" si="14"/>
        <v>0.34016999343040366</v>
      </c>
      <c r="Y79" s="151">
        <f t="shared" si="15"/>
        <v>3374.8191971281176</v>
      </c>
      <c r="Z79" s="152">
        <f t="shared" si="16"/>
        <v>0.16141066250883382</v>
      </c>
      <c r="AA79" s="151">
        <f t="shared" si="17"/>
        <v>4066.74</v>
      </c>
      <c r="AB79" s="152">
        <f t="shared" si="18"/>
        <v>0.19450381170338454</v>
      </c>
      <c r="AC79" s="151">
        <f t="shared" si="19"/>
        <v>13466.720000000001</v>
      </c>
      <c r="AD79" s="152">
        <f t="shared" si="20"/>
        <v>0.64408552578778167</v>
      </c>
      <c r="AF79" s="146">
        <f>'[1]App 4-Recyclables'!V79+'[1]App 4-Recyclables'!AB79</f>
        <v>3374.8191971281176</v>
      </c>
      <c r="AG79" s="146">
        <f>'[1]App 4-Recyclables'!W79+'[1]App 4-Recyclables'!AC79</f>
        <v>3009.2091971281179</v>
      </c>
      <c r="AH79" s="146">
        <f>'[1]App 4-Recyclables'!X79+'[1]App 4-Recyclables'!AD79</f>
        <v>365.61</v>
      </c>
      <c r="AI79" s="146">
        <f>'[1]App 5-Organics'!V79+'[1]App 5-Organics'!AD79</f>
        <v>4066.74</v>
      </c>
      <c r="AJ79" s="146">
        <f>'[1]App 5-Organics'!W79+'[1]App 5-Organics'!AE79</f>
        <v>4066.74</v>
      </c>
      <c r="AK79" s="146">
        <f>'[1]App 5-Organics'!X79+'[1]App 5-Organics'!AF79</f>
        <v>0</v>
      </c>
      <c r="AL79" s="147">
        <f>'[1]App 6-Residual Waste'!AC79+'[1]App 6-Residual Waste'!AI79</f>
        <v>14059.18</v>
      </c>
      <c r="AM79" s="147">
        <f>'[1]App 6-Residual Waste'!AD79+'[1]App 6-Residual Waste'!AJ79</f>
        <v>628.41999999999996</v>
      </c>
      <c r="AN79" s="147">
        <f>'[1]App 6-Residual Waste'!AE79+'[1]App 6-Residual Waste'!AK79</f>
        <v>13430.3</v>
      </c>
      <c r="AO79" s="140"/>
      <c r="AP79" s="147">
        <f t="shared" si="21"/>
        <v>21500.739197128118</v>
      </c>
      <c r="AQ79" s="147">
        <f t="shared" si="21"/>
        <v>7704.3691971281178</v>
      </c>
      <c r="AR79" s="147">
        <f t="shared" si="21"/>
        <v>13795.91</v>
      </c>
      <c r="AS79" s="148">
        <f t="shared" si="22"/>
        <v>0.35833043350236071</v>
      </c>
    </row>
    <row r="80" spans="1:45" ht="15.75" x14ac:dyDescent="0.25">
      <c r="A80" s="8">
        <v>15300</v>
      </c>
      <c r="B80" s="8" t="s">
        <v>139</v>
      </c>
      <c r="C80" s="8" t="s">
        <v>17</v>
      </c>
      <c r="D80" s="29" t="s">
        <v>1</v>
      </c>
      <c r="E80" s="145"/>
      <c r="F80" s="146">
        <f>'App 4 - Recyclables'!V80</f>
        <v>1901.6294565187368</v>
      </c>
      <c r="G80" s="146">
        <f>'App 4 - Recyclables'!W80</f>
        <v>1790.9894565187369</v>
      </c>
      <c r="H80" s="146">
        <f>'App 4 - Recyclables'!X80</f>
        <v>110.64</v>
      </c>
      <c r="I80" s="146">
        <f>'App 5 - Organics'!V80</f>
        <v>2045.94</v>
      </c>
      <c r="J80" s="146">
        <f>'App 5 - Organics'!W80</f>
        <v>1911.3000000000002</v>
      </c>
      <c r="K80" s="146">
        <f>'App 5 - Organics'!X80</f>
        <v>134.63999999999999</v>
      </c>
      <c r="L80" s="147">
        <f>'App 6 - Residual Waste'!AC80</f>
        <v>6795.36</v>
      </c>
      <c r="M80" s="147">
        <f>'App 6 - Residual Waste'!AD80</f>
        <v>334.63</v>
      </c>
      <c r="N80" s="147">
        <f>'App 6 - Residual Waste'!AE80</f>
        <v>6460.7299999999987</v>
      </c>
      <c r="O80" s="140"/>
      <c r="P80" s="147">
        <f t="shared" si="12"/>
        <v>10742.929456518737</v>
      </c>
      <c r="Q80" s="147">
        <f t="shared" si="12"/>
        <v>4036.9194565187372</v>
      </c>
      <c r="R80" s="147">
        <f t="shared" si="12"/>
        <v>6706.0099999999984</v>
      </c>
      <c r="S80" s="148">
        <f t="shared" si="13"/>
        <v>0.37577454760900081</v>
      </c>
      <c r="U80" s="149">
        <f>(P80*1000)/'App 1 - Services'!F80/52</f>
        <v>15.798332739982026</v>
      </c>
      <c r="V80" s="149">
        <f>(P80*1000)/'App 1 - Services'!G80/52</f>
        <v>32.488566950895574</v>
      </c>
      <c r="X80" s="150">
        <f t="shared" si="14"/>
        <v>0.37577454760900081</v>
      </c>
      <c r="Y80" s="151">
        <f t="shared" si="15"/>
        <v>1901.6294565187368</v>
      </c>
      <c r="Z80" s="152">
        <f t="shared" si="16"/>
        <v>0.17701218873450209</v>
      </c>
      <c r="AA80" s="151">
        <f t="shared" si="17"/>
        <v>2045.94</v>
      </c>
      <c r="AB80" s="152">
        <f t="shared" si="18"/>
        <v>0.19044526060427003</v>
      </c>
      <c r="AC80" s="151">
        <f t="shared" si="19"/>
        <v>6795.36</v>
      </c>
      <c r="AD80" s="152">
        <f t="shared" si="20"/>
        <v>0.63254255066122778</v>
      </c>
      <c r="AF80" s="146">
        <f>'[1]App 4-Recyclables'!V80+'[1]App 4-Recyclables'!AB80</f>
        <v>1901.6294565187368</v>
      </c>
      <c r="AG80" s="146">
        <f>'[1]App 4-Recyclables'!W80+'[1]App 4-Recyclables'!AC80</f>
        <v>1790.9894565187369</v>
      </c>
      <c r="AH80" s="146">
        <f>'[1]App 4-Recyclables'!X80+'[1]App 4-Recyclables'!AD80</f>
        <v>110.64</v>
      </c>
      <c r="AI80" s="146">
        <f>'[1]App 5-Organics'!V80+'[1]App 5-Organics'!AD80</f>
        <v>2351.44</v>
      </c>
      <c r="AJ80" s="146">
        <f>'[1]App 5-Organics'!W80+'[1]App 5-Organics'!AE80</f>
        <v>2216.3000000000002</v>
      </c>
      <c r="AK80" s="146">
        <f>'[1]App 5-Organics'!X80+'[1]App 5-Organics'!AF80</f>
        <v>134.63999999999999</v>
      </c>
      <c r="AL80" s="147">
        <f>'[1]App 6-Residual Waste'!AC80+'[1]App 6-Residual Waste'!AI80</f>
        <v>7114.67</v>
      </c>
      <c r="AM80" s="147">
        <f>'[1]App 6-Residual Waste'!AD80+'[1]App 6-Residual Waste'!AJ80</f>
        <v>334.63</v>
      </c>
      <c r="AN80" s="147">
        <f>'[1]App 6-Residual Waste'!AE80+'[1]App 6-Residual Waste'!AK80</f>
        <v>6780.0399999999991</v>
      </c>
      <c r="AO80" s="140"/>
      <c r="AP80" s="147">
        <f t="shared" si="21"/>
        <v>11367.739456518737</v>
      </c>
      <c r="AQ80" s="147">
        <f t="shared" si="21"/>
        <v>4341.9194565187372</v>
      </c>
      <c r="AR80" s="147">
        <f t="shared" si="21"/>
        <v>7025.3199999999988</v>
      </c>
      <c r="AS80" s="148">
        <f t="shared" si="22"/>
        <v>0.38195100029574475</v>
      </c>
    </row>
    <row r="81" spans="1:45" ht="15.75" x14ac:dyDescent="0.25">
      <c r="A81" s="8">
        <v>15350</v>
      </c>
      <c r="B81" s="8" t="s">
        <v>140</v>
      </c>
      <c r="C81" s="8" t="s">
        <v>26</v>
      </c>
      <c r="D81" s="29" t="s">
        <v>3</v>
      </c>
      <c r="E81" s="145"/>
      <c r="F81" s="146">
        <f>'App 4 - Recyclables'!V81</f>
        <v>2775.0406088346581</v>
      </c>
      <c r="G81" s="146">
        <f>'App 4 - Recyclables'!W81</f>
        <v>2678.3606088346578</v>
      </c>
      <c r="H81" s="146">
        <f>'App 4 - Recyclables'!X81</f>
        <v>96.68</v>
      </c>
      <c r="I81" s="146">
        <f>'App 5 - Organics'!V81</f>
        <v>1618</v>
      </c>
      <c r="J81" s="146">
        <f>'App 5 - Organics'!W81</f>
        <v>1618</v>
      </c>
      <c r="K81" s="146">
        <f>'App 5 - Organics'!X81</f>
        <v>0</v>
      </c>
      <c r="L81" s="147">
        <f>'App 6 - Residual Waste'!AC81</f>
        <v>6921</v>
      </c>
      <c r="M81" s="147">
        <f>'App 6 - Residual Waste'!AD81</f>
        <v>642</v>
      </c>
      <c r="N81" s="147">
        <f>'App 6 - Residual Waste'!AE81</f>
        <v>6279</v>
      </c>
      <c r="O81" s="140"/>
      <c r="P81" s="147">
        <f t="shared" si="12"/>
        <v>11314.040608834657</v>
      </c>
      <c r="Q81" s="147">
        <f t="shared" si="12"/>
        <v>4938.3606088346578</v>
      </c>
      <c r="R81" s="147">
        <f t="shared" si="12"/>
        <v>6375.68</v>
      </c>
      <c r="S81" s="148">
        <f t="shared" si="13"/>
        <v>0.43648072157161077</v>
      </c>
      <c r="U81" s="149">
        <f>(P81*1000)/'App 1 - Services'!F81/52</f>
        <v>7.0676532082524322</v>
      </c>
      <c r="V81" s="149">
        <f>(P81*1000)/'App 1 - Services'!G81/52</f>
        <v>16.571036101755606</v>
      </c>
      <c r="X81" s="150">
        <f t="shared" si="14"/>
        <v>0.43648072157161077</v>
      </c>
      <c r="Y81" s="151">
        <f t="shared" si="15"/>
        <v>2775.0406088346581</v>
      </c>
      <c r="Z81" s="152">
        <f t="shared" si="16"/>
        <v>0.24527405414010497</v>
      </c>
      <c r="AA81" s="151">
        <f t="shared" si="17"/>
        <v>1618</v>
      </c>
      <c r="AB81" s="152">
        <f t="shared" si="18"/>
        <v>0.14300814854213728</v>
      </c>
      <c r="AC81" s="151">
        <f t="shared" si="19"/>
        <v>6921</v>
      </c>
      <c r="AD81" s="152">
        <f t="shared" si="20"/>
        <v>0.61171779731775777</v>
      </c>
      <c r="AF81" s="146">
        <f>'[1]App 4-Recyclables'!V81+'[1]App 4-Recyclables'!AB81</f>
        <v>2775.0406088346581</v>
      </c>
      <c r="AG81" s="146">
        <f>'[1]App 4-Recyclables'!W81+'[1]App 4-Recyclables'!AC81</f>
        <v>2678.3606088346578</v>
      </c>
      <c r="AH81" s="146">
        <f>'[1]App 4-Recyclables'!X81+'[1]App 4-Recyclables'!AD81</f>
        <v>96.68</v>
      </c>
      <c r="AI81" s="146">
        <f>'[1]App 5-Organics'!V81+'[1]App 5-Organics'!AD81</f>
        <v>2127.44</v>
      </c>
      <c r="AJ81" s="146">
        <f>'[1]App 5-Organics'!W81+'[1]App 5-Organics'!AE81</f>
        <v>2127</v>
      </c>
      <c r="AK81" s="146">
        <f>'[1]App 5-Organics'!X81+'[1]App 5-Organics'!AF81</f>
        <v>0</v>
      </c>
      <c r="AL81" s="147">
        <f>'[1]App 6-Residual Waste'!AC81+'[1]App 6-Residual Waste'!AI81</f>
        <v>6967</v>
      </c>
      <c r="AM81" s="147">
        <f>'[1]App 6-Residual Waste'!AD81+'[1]App 6-Residual Waste'!AJ81</f>
        <v>642</v>
      </c>
      <c r="AN81" s="147">
        <f>'[1]App 6-Residual Waste'!AE81+'[1]App 6-Residual Waste'!AK81</f>
        <v>6325</v>
      </c>
      <c r="AO81" s="140"/>
      <c r="AP81" s="147">
        <f t="shared" si="21"/>
        <v>11869.480608834658</v>
      </c>
      <c r="AQ81" s="147">
        <f t="shared" si="21"/>
        <v>5447.3606088346578</v>
      </c>
      <c r="AR81" s="147">
        <f t="shared" si="21"/>
        <v>6421.68</v>
      </c>
      <c r="AS81" s="148">
        <f t="shared" si="22"/>
        <v>0.45893841427063742</v>
      </c>
    </row>
    <row r="82" spans="1:45" ht="15.75" x14ac:dyDescent="0.25">
      <c r="A82" s="8">
        <v>15520</v>
      </c>
      <c r="B82" s="8" t="s">
        <v>141</v>
      </c>
      <c r="C82" s="8" t="s">
        <v>73</v>
      </c>
      <c r="D82" s="29" t="s">
        <v>1</v>
      </c>
      <c r="E82" s="145"/>
      <c r="F82" s="146">
        <f>'App 4 - Recyclables'!V82</f>
        <v>1872.0429613949414</v>
      </c>
      <c r="G82" s="146">
        <f>'App 4 - Recyclables'!W82</f>
        <v>1840.9729613949414</v>
      </c>
      <c r="H82" s="146">
        <f>'App 4 - Recyclables'!X82</f>
        <v>31.07</v>
      </c>
      <c r="I82" s="146">
        <f>'App 5 - Organics'!V82</f>
        <v>788.61</v>
      </c>
      <c r="J82" s="146">
        <f>'App 5 - Organics'!W82</f>
        <v>788.61</v>
      </c>
      <c r="K82" s="146">
        <f>'App 5 - Organics'!X82</f>
        <v>0</v>
      </c>
      <c r="L82" s="147">
        <f>'App 6 - Residual Waste'!AC82</f>
        <v>1789.93</v>
      </c>
      <c r="M82" s="147">
        <f>'App 6 - Residual Waste'!AD82</f>
        <v>0</v>
      </c>
      <c r="N82" s="147">
        <f>'App 6 - Residual Waste'!AE82</f>
        <v>1789.93</v>
      </c>
      <c r="O82" s="140"/>
      <c r="P82" s="147">
        <f t="shared" si="12"/>
        <v>4450.5829613949418</v>
      </c>
      <c r="Q82" s="147">
        <f t="shared" si="12"/>
        <v>2629.5829613949413</v>
      </c>
      <c r="R82" s="147">
        <f t="shared" si="12"/>
        <v>1821</v>
      </c>
      <c r="S82" s="148">
        <f t="shared" si="13"/>
        <v>0.59084011784621437</v>
      </c>
      <c r="U82" s="149">
        <f>(P82*1000)/'App 1 - Services'!F82/52</f>
        <v>6.941454490914813</v>
      </c>
      <c r="V82" s="149">
        <f>(P82*1000)/'App 1 - Services'!G82/52</f>
        <v>9.5288503532598128</v>
      </c>
      <c r="X82" s="150">
        <f t="shared" si="14"/>
        <v>0.59084011784621437</v>
      </c>
      <c r="Y82" s="151">
        <f t="shared" si="15"/>
        <v>1872.0429613949414</v>
      </c>
      <c r="Z82" s="152">
        <f t="shared" si="16"/>
        <v>0.42062870811157482</v>
      </c>
      <c r="AA82" s="151">
        <f t="shared" si="17"/>
        <v>788.61</v>
      </c>
      <c r="AB82" s="152">
        <f t="shared" si="18"/>
        <v>0.17719251766353475</v>
      </c>
      <c r="AC82" s="151">
        <f t="shared" si="19"/>
        <v>1789.93</v>
      </c>
      <c r="AD82" s="152">
        <f t="shared" si="20"/>
        <v>0.40217877422489035</v>
      </c>
      <c r="AF82" s="146">
        <f>'[1]App 4-Recyclables'!V82+'[1]App 4-Recyclables'!AB82</f>
        <v>1872.0429613949414</v>
      </c>
      <c r="AG82" s="146">
        <f>'[1]App 4-Recyclables'!W82+'[1]App 4-Recyclables'!AC82</f>
        <v>1840.9729613949414</v>
      </c>
      <c r="AH82" s="146">
        <f>'[1]App 4-Recyclables'!X82+'[1]App 4-Recyclables'!AD82</f>
        <v>31.07</v>
      </c>
      <c r="AI82" s="146">
        <f>'[1]App 5-Organics'!V82+'[1]App 5-Organics'!AD82</f>
        <v>788.61</v>
      </c>
      <c r="AJ82" s="146">
        <f>'[1]App 5-Organics'!W82+'[1]App 5-Organics'!AE82</f>
        <v>788.61</v>
      </c>
      <c r="AK82" s="146">
        <f>'[1]App 5-Organics'!X82+'[1]App 5-Organics'!AF82</f>
        <v>0</v>
      </c>
      <c r="AL82" s="147">
        <f>'[1]App 6-Residual Waste'!AC82+'[1]App 6-Residual Waste'!AI82</f>
        <v>1789.93</v>
      </c>
      <c r="AM82" s="147">
        <f>'[1]App 6-Residual Waste'!AD82+'[1]App 6-Residual Waste'!AJ82</f>
        <v>0</v>
      </c>
      <c r="AN82" s="147">
        <f>'[1]App 6-Residual Waste'!AE82+'[1]App 6-Residual Waste'!AK82</f>
        <v>1789.93</v>
      </c>
      <c r="AO82" s="140"/>
      <c r="AP82" s="147">
        <f t="shared" si="21"/>
        <v>4450.5829613949418</v>
      </c>
      <c r="AQ82" s="147">
        <f t="shared" si="21"/>
        <v>2629.5829613949413</v>
      </c>
      <c r="AR82" s="147">
        <f t="shared" si="21"/>
        <v>1821</v>
      </c>
      <c r="AS82" s="148">
        <f t="shared" si="22"/>
        <v>0.59084011784621437</v>
      </c>
    </row>
    <row r="83" spans="1:45" ht="15.75" x14ac:dyDescent="0.25">
      <c r="A83" s="8">
        <v>15560</v>
      </c>
      <c r="B83" s="8" t="s">
        <v>142</v>
      </c>
      <c r="C83" s="8" t="s">
        <v>75</v>
      </c>
      <c r="D83" s="29" t="s">
        <v>1</v>
      </c>
      <c r="E83" s="145"/>
      <c r="F83" s="146">
        <f>'App 4 - Recyclables'!V83</f>
        <v>141.07999999999998</v>
      </c>
      <c r="G83" s="146">
        <f>'App 4 - Recyclables'!W83</f>
        <v>100.71</v>
      </c>
      <c r="H83" s="146">
        <f>'App 4 - Recyclables'!X83</f>
        <v>40.369999999999997</v>
      </c>
      <c r="I83" s="146">
        <f>'App 5 - Organics'!V83</f>
        <v>300</v>
      </c>
      <c r="J83" s="146">
        <f>'App 5 - Organics'!W83</f>
        <v>50</v>
      </c>
      <c r="K83" s="146">
        <f>'App 5 - Organics'!X83</f>
        <v>250</v>
      </c>
      <c r="L83" s="147">
        <f>'App 6 - Residual Waste'!AC83</f>
        <v>914</v>
      </c>
      <c r="M83" s="147">
        <f>'App 6 - Residual Waste'!AD83</f>
        <v>0</v>
      </c>
      <c r="N83" s="147">
        <f>'App 6 - Residual Waste'!AE83</f>
        <v>914</v>
      </c>
      <c r="O83" s="140"/>
      <c r="P83" s="147">
        <f t="shared" si="12"/>
        <v>1355.08</v>
      </c>
      <c r="Q83" s="147">
        <f t="shared" si="12"/>
        <v>150.70999999999998</v>
      </c>
      <c r="R83" s="147">
        <f t="shared" si="12"/>
        <v>1204.3699999999999</v>
      </c>
      <c r="S83" s="148">
        <f t="shared" si="13"/>
        <v>0.11121852584349262</v>
      </c>
      <c r="U83" s="149">
        <f>(P83*1000)/'App 1 - Services'!F83/52</f>
        <v>6.6545533118566826</v>
      </c>
      <c r="V83" s="149">
        <f>(P83*1000)/'App 1 - Services'!G83/52</f>
        <v>9.9729164826753802</v>
      </c>
      <c r="X83" s="150">
        <f t="shared" si="14"/>
        <v>0.11121852584349262</v>
      </c>
      <c r="Y83" s="151">
        <f t="shared" si="15"/>
        <v>141.07999999999998</v>
      </c>
      <c r="Z83" s="152">
        <f t="shared" si="16"/>
        <v>0.10411193435073943</v>
      </c>
      <c r="AA83" s="151">
        <f t="shared" si="17"/>
        <v>300</v>
      </c>
      <c r="AB83" s="152">
        <f t="shared" si="18"/>
        <v>0.22138914307642354</v>
      </c>
      <c r="AC83" s="151">
        <f t="shared" si="19"/>
        <v>914</v>
      </c>
      <c r="AD83" s="152">
        <f t="shared" si="20"/>
        <v>0.67449892257283706</v>
      </c>
      <c r="AF83" s="146">
        <f>'[1]App 4-Recyclables'!V83+'[1]App 4-Recyclables'!AB83</f>
        <v>141.07999999999998</v>
      </c>
      <c r="AG83" s="146">
        <f>'[1]App 4-Recyclables'!W83+'[1]App 4-Recyclables'!AC83</f>
        <v>100.71</v>
      </c>
      <c r="AH83" s="146">
        <f>'[1]App 4-Recyclables'!X83+'[1]App 4-Recyclables'!AD83</f>
        <v>40.369999999999997</v>
      </c>
      <c r="AI83" s="146">
        <f>'[1]App 5-Organics'!V83+'[1]App 5-Organics'!AD83</f>
        <v>300</v>
      </c>
      <c r="AJ83" s="146">
        <f>'[1]App 5-Organics'!W83+'[1]App 5-Organics'!AE83</f>
        <v>50</v>
      </c>
      <c r="AK83" s="146">
        <f>'[1]App 5-Organics'!X83+'[1]App 5-Organics'!AF83</f>
        <v>250</v>
      </c>
      <c r="AL83" s="147">
        <f>'[1]App 6-Residual Waste'!AC83+'[1]App 6-Residual Waste'!AI83</f>
        <v>914</v>
      </c>
      <c r="AM83" s="147">
        <f>'[1]App 6-Residual Waste'!AD83+'[1]App 6-Residual Waste'!AJ83</f>
        <v>0</v>
      </c>
      <c r="AN83" s="147">
        <f>'[1]App 6-Residual Waste'!AE83+'[1]App 6-Residual Waste'!AK83</f>
        <v>914</v>
      </c>
      <c r="AO83" s="140"/>
      <c r="AP83" s="147">
        <f t="shared" si="21"/>
        <v>1355.08</v>
      </c>
      <c r="AQ83" s="147">
        <f t="shared" si="21"/>
        <v>150.70999999999998</v>
      </c>
      <c r="AR83" s="147">
        <f t="shared" si="21"/>
        <v>1204.3699999999999</v>
      </c>
      <c r="AS83" s="148">
        <f t="shared" si="22"/>
        <v>0.11121852584349262</v>
      </c>
    </row>
    <row r="84" spans="1:45" ht="15.75" x14ac:dyDescent="0.25">
      <c r="A84" s="8">
        <v>15650</v>
      </c>
      <c r="B84" s="8" t="s">
        <v>143</v>
      </c>
      <c r="C84" s="8" t="s">
        <v>25</v>
      </c>
      <c r="D84" s="29" t="s">
        <v>4</v>
      </c>
      <c r="E84" s="145"/>
      <c r="F84" s="146">
        <f>'App 4 - Recyclables'!V84</f>
        <v>2286.0492819291967</v>
      </c>
      <c r="G84" s="146">
        <f>'App 4 - Recyclables'!W84</f>
        <v>2124.8692819291969</v>
      </c>
      <c r="H84" s="146">
        <f>'App 4 - Recyclables'!X84</f>
        <v>161.18</v>
      </c>
      <c r="I84" s="146">
        <f>'App 5 - Organics'!V84</f>
        <v>2391.67</v>
      </c>
      <c r="J84" s="146">
        <f>'App 5 - Organics'!W84</f>
        <v>2355.37</v>
      </c>
      <c r="K84" s="146">
        <f>'App 5 - Organics'!X84</f>
        <v>36.299999999999997</v>
      </c>
      <c r="L84" s="147">
        <f>'App 6 - Residual Waste'!AC84</f>
        <v>5214.26</v>
      </c>
      <c r="M84" s="147">
        <f>'App 6 - Residual Waste'!AD84</f>
        <v>41.54</v>
      </c>
      <c r="N84" s="147">
        <f>'App 6 - Residual Waste'!AE84</f>
        <v>5172.7199999999993</v>
      </c>
      <c r="O84" s="140"/>
      <c r="P84" s="147">
        <f t="shared" si="12"/>
        <v>9891.9792819291979</v>
      </c>
      <c r="Q84" s="147">
        <f t="shared" si="12"/>
        <v>4521.7792819291963</v>
      </c>
      <c r="R84" s="147">
        <f t="shared" si="12"/>
        <v>5370.1999999999989</v>
      </c>
      <c r="S84" s="148">
        <f t="shared" si="13"/>
        <v>0.45711572507937254</v>
      </c>
      <c r="U84" s="149">
        <f>(P84*1000)/'App 1 - Services'!F84/52</f>
        <v>11.631328083542083</v>
      </c>
      <c r="V84" s="149">
        <f>(P84*1000)/'App 1 - Services'!G84/52</f>
        <v>23.692909553659327</v>
      </c>
      <c r="X84" s="150">
        <f t="shared" si="14"/>
        <v>0.45711572507937254</v>
      </c>
      <c r="Y84" s="151">
        <f t="shared" si="15"/>
        <v>2286.0492819291967</v>
      </c>
      <c r="Z84" s="152">
        <f t="shared" si="16"/>
        <v>0.23110130104147938</v>
      </c>
      <c r="AA84" s="151">
        <f t="shared" si="17"/>
        <v>2391.67</v>
      </c>
      <c r="AB84" s="152">
        <f t="shared" si="18"/>
        <v>0.24177871099761958</v>
      </c>
      <c r="AC84" s="151">
        <f t="shared" si="19"/>
        <v>5214.26</v>
      </c>
      <c r="AD84" s="152">
        <f t="shared" si="20"/>
        <v>0.52711998796090098</v>
      </c>
      <c r="AF84" s="146">
        <f>'[1]App 4-Recyclables'!V84+'[1]App 4-Recyclables'!AB84</f>
        <v>2286.0492819291967</v>
      </c>
      <c r="AG84" s="146">
        <f>'[1]App 4-Recyclables'!W84+'[1]App 4-Recyclables'!AC84</f>
        <v>2124.8692819291969</v>
      </c>
      <c r="AH84" s="146">
        <f>'[1]App 4-Recyclables'!X84+'[1]App 4-Recyclables'!AD84</f>
        <v>161.18</v>
      </c>
      <c r="AI84" s="146">
        <f>'[1]App 5-Organics'!V84+'[1]App 5-Organics'!AD84</f>
        <v>2499.2600000000002</v>
      </c>
      <c r="AJ84" s="146">
        <f>'[1]App 5-Organics'!W84+'[1]App 5-Organics'!AE84</f>
        <v>2462.37</v>
      </c>
      <c r="AK84" s="146">
        <f>'[1]App 5-Organics'!X84+'[1]App 5-Organics'!AF84</f>
        <v>36.299999999999997</v>
      </c>
      <c r="AL84" s="147">
        <f>'[1]App 6-Residual Waste'!AC84+'[1]App 6-Residual Waste'!AI84</f>
        <v>5635.9400000000005</v>
      </c>
      <c r="AM84" s="147">
        <f>'[1]App 6-Residual Waste'!AD84+'[1]App 6-Residual Waste'!AJ84</f>
        <v>41.54</v>
      </c>
      <c r="AN84" s="147">
        <f>'[1]App 6-Residual Waste'!AE84+'[1]App 6-Residual Waste'!AK84</f>
        <v>5594.4</v>
      </c>
      <c r="AO84" s="140"/>
      <c r="AP84" s="147">
        <f t="shared" si="21"/>
        <v>10421.249281929198</v>
      </c>
      <c r="AQ84" s="147">
        <f t="shared" si="21"/>
        <v>4628.7792819291963</v>
      </c>
      <c r="AR84" s="147">
        <f t="shared" si="21"/>
        <v>5791.8799999999992</v>
      </c>
      <c r="AS84" s="148">
        <f t="shared" si="22"/>
        <v>0.44416740802426224</v>
      </c>
    </row>
    <row r="85" spans="1:45" ht="15.75" x14ac:dyDescent="0.25">
      <c r="A85" s="8">
        <v>15700</v>
      </c>
      <c r="B85" s="8" t="s">
        <v>61</v>
      </c>
      <c r="C85" s="8" t="s">
        <v>43</v>
      </c>
      <c r="D85" s="29" t="s">
        <v>4</v>
      </c>
      <c r="E85" s="145"/>
      <c r="F85" s="146">
        <f>'App 4 - Recyclables'!V85</f>
        <v>2369.963692324679</v>
      </c>
      <c r="G85" s="146">
        <f>'App 4 - Recyclables'!W85</f>
        <v>2309.4336923246792</v>
      </c>
      <c r="H85" s="146">
        <f>'App 4 - Recyclables'!X85</f>
        <v>60.53</v>
      </c>
      <c r="I85" s="146">
        <f>'App 5 - Organics'!V85</f>
        <v>2893</v>
      </c>
      <c r="J85" s="146">
        <f>'App 5 - Organics'!W85</f>
        <v>2893</v>
      </c>
      <c r="K85" s="146">
        <f>'App 5 - Organics'!X85</f>
        <v>0</v>
      </c>
      <c r="L85" s="147">
        <f>'App 6 - Residual Waste'!AC85</f>
        <v>4116</v>
      </c>
      <c r="M85" s="147">
        <f>'App 6 - Residual Waste'!AD85</f>
        <v>105.15000000000009</v>
      </c>
      <c r="N85" s="147">
        <f>'App 6 - Residual Waste'!AE85</f>
        <v>4010.85</v>
      </c>
      <c r="O85" s="140"/>
      <c r="P85" s="147">
        <f t="shared" si="12"/>
        <v>9378.9636923246799</v>
      </c>
      <c r="Q85" s="147">
        <f t="shared" si="12"/>
        <v>5307.5836923246789</v>
      </c>
      <c r="R85" s="147">
        <f t="shared" si="12"/>
        <v>4071.38</v>
      </c>
      <c r="S85" s="148">
        <f t="shared" si="13"/>
        <v>0.5659030002075992</v>
      </c>
      <c r="U85" s="149">
        <f>(P85*1000)/'App 1 - Services'!F85/52</f>
        <v>9.0813496999576664</v>
      </c>
      <c r="V85" s="149">
        <f>(P85*1000)/'App 1 - Services'!G85/52</f>
        <v>17.741952232034155</v>
      </c>
      <c r="X85" s="150">
        <f t="shared" si="14"/>
        <v>0.5659030002075992</v>
      </c>
      <c r="Y85" s="151">
        <f t="shared" si="15"/>
        <v>2369.963692324679</v>
      </c>
      <c r="Z85" s="152">
        <f t="shared" si="16"/>
        <v>0.25268929170332005</v>
      </c>
      <c r="AA85" s="151">
        <f t="shared" si="17"/>
        <v>2893</v>
      </c>
      <c r="AB85" s="152">
        <f t="shared" si="18"/>
        <v>0.30845625326042159</v>
      </c>
      <c r="AC85" s="151">
        <f t="shared" si="19"/>
        <v>4116</v>
      </c>
      <c r="AD85" s="152">
        <f t="shared" si="20"/>
        <v>0.43885445503625825</v>
      </c>
      <c r="AF85" s="146">
        <f>'[1]App 4-Recyclables'!V85+'[1]App 4-Recyclables'!AB85</f>
        <v>2369.963692324679</v>
      </c>
      <c r="AG85" s="146">
        <f>'[1]App 4-Recyclables'!W85+'[1]App 4-Recyclables'!AC85</f>
        <v>2309.4336923246792</v>
      </c>
      <c r="AH85" s="146">
        <f>'[1]App 4-Recyclables'!X85+'[1]App 4-Recyclables'!AD85</f>
        <v>60.53</v>
      </c>
      <c r="AI85" s="146">
        <f>'[1]App 5-Organics'!V85+'[1]App 5-Organics'!AD85</f>
        <v>2893</v>
      </c>
      <c r="AJ85" s="146">
        <f>'[1]App 5-Organics'!W85+'[1]App 5-Organics'!AE85</f>
        <v>2893</v>
      </c>
      <c r="AK85" s="146">
        <f>'[1]App 5-Organics'!X85+'[1]App 5-Organics'!AF85</f>
        <v>0</v>
      </c>
      <c r="AL85" s="147">
        <f>'[1]App 6-Residual Waste'!AC85+'[1]App 6-Residual Waste'!AI85</f>
        <v>4116</v>
      </c>
      <c r="AM85" s="147">
        <f>'[1]App 6-Residual Waste'!AD85+'[1]App 6-Residual Waste'!AJ85</f>
        <v>105.15000000000009</v>
      </c>
      <c r="AN85" s="147">
        <f>'[1]App 6-Residual Waste'!AE85+'[1]App 6-Residual Waste'!AK85</f>
        <v>4010.85</v>
      </c>
      <c r="AO85" s="140"/>
      <c r="AP85" s="147">
        <f t="shared" si="21"/>
        <v>9378.9636923246799</v>
      </c>
      <c r="AQ85" s="147">
        <f t="shared" si="21"/>
        <v>5307.5836923246789</v>
      </c>
      <c r="AR85" s="147">
        <f t="shared" si="21"/>
        <v>4071.38</v>
      </c>
      <c r="AS85" s="148">
        <f t="shared" si="22"/>
        <v>0.5659030002075992</v>
      </c>
    </row>
    <row r="86" spans="1:45" ht="15.75" x14ac:dyDescent="0.25">
      <c r="A86" s="8">
        <v>15750</v>
      </c>
      <c r="B86" s="8" t="s">
        <v>144</v>
      </c>
      <c r="C86" s="8" t="s">
        <v>17</v>
      </c>
      <c r="D86" s="29" t="s">
        <v>1</v>
      </c>
      <c r="E86" s="145"/>
      <c r="F86" s="146">
        <f>'App 4 - Recyclables'!V86</f>
        <v>3783.3135727396166</v>
      </c>
      <c r="G86" s="146">
        <f>'App 4 - Recyclables'!W86</f>
        <v>3761.2135727396162</v>
      </c>
      <c r="H86" s="146">
        <f>'App 4 - Recyclables'!X86</f>
        <v>22.1</v>
      </c>
      <c r="I86" s="146">
        <f>'App 5 - Organics'!V86</f>
        <v>3269.9</v>
      </c>
      <c r="J86" s="146">
        <f>'App 5 - Organics'!W86</f>
        <v>3269.9</v>
      </c>
      <c r="K86" s="146">
        <f>'App 5 - Organics'!X86</f>
        <v>0</v>
      </c>
      <c r="L86" s="147">
        <f>'App 6 - Residual Waste'!AC86</f>
        <v>3931.09</v>
      </c>
      <c r="M86" s="147">
        <f>'App 6 - Residual Waste'!AD86</f>
        <v>47.06</v>
      </c>
      <c r="N86" s="147">
        <f>'App 6 - Residual Waste'!AE86</f>
        <v>3884.03</v>
      </c>
      <c r="O86" s="140"/>
      <c r="P86" s="147">
        <f t="shared" si="12"/>
        <v>10984.303572739616</v>
      </c>
      <c r="Q86" s="147">
        <f t="shared" si="12"/>
        <v>7078.1735727396162</v>
      </c>
      <c r="R86" s="147">
        <f t="shared" si="12"/>
        <v>3906.13</v>
      </c>
      <c r="S86" s="148">
        <f t="shared" si="13"/>
        <v>0.64438983553822482</v>
      </c>
      <c r="U86" s="149">
        <f>(P86*1000)/'App 1 - Services'!F86/52</f>
        <v>16.187953649173849</v>
      </c>
      <c r="V86" s="149">
        <f>(P86*1000)/'App 1 - Services'!G86/52</f>
        <v>30.805980336600484</v>
      </c>
      <c r="X86" s="150">
        <f t="shared" si="14"/>
        <v>0.64438983553822482</v>
      </c>
      <c r="Y86" s="151">
        <f t="shared" si="15"/>
        <v>3783.3135727396166</v>
      </c>
      <c r="Z86" s="152">
        <f t="shared" si="16"/>
        <v>0.34442907988530885</v>
      </c>
      <c r="AA86" s="151">
        <f t="shared" si="17"/>
        <v>3269.9</v>
      </c>
      <c r="AB86" s="152">
        <f t="shared" si="18"/>
        <v>0.29768842224236236</v>
      </c>
      <c r="AC86" s="151">
        <f t="shared" si="19"/>
        <v>3931.09</v>
      </c>
      <c r="AD86" s="152">
        <f t="shared" si="20"/>
        <v>0.35788249787232884</v>
      </c>
      <c r="AF86" s="146">
        <f>'[1]App 4-Recyclables'!V86+'[1]App 4-Recyclables'!AB86</f>
        <v>3783.3135727396166</v>
      </c>
      <c r="AG86" s="146">
        <f>'[1]App 4-Recyclables'!W86+'[1]App 4-Recyclables'!AC86</f>
        <v>3761.2135727396162</v>
      </c>
      <c r="AH86" s="146">
        <f>'[1]App 4-Recyclables'!X86+'[1]App 4-Recyclables'!AD86</f>
        <v>22.1</v>
      </c>
      <c r="AI86" s="146">
        <f>'[1]App 5-Organics'!V86+'[1]App 5-Organics'!AD86</f>
        <v>3269.9</v>
      </c>
      <c r="AJ86" s="146">
        <f>'[1]App 5-Organics'!W86+'[1]App 5-Organics'!AE86</f>
        <v>3269.9</v>
      </c>
      <c r="AK86" s="146">
        <f>'[1]App 5-Organics'!X86+'[1]App 5-Organics'!AF86</f>
        <v>0</v>
      </c>
      <c r="AL86" s="147">
        <f>'[1]App 6-Residual Waste'!AC86+'[1]App 6-Residual Waste'!AI86</f>
        <v>3931.09</v>
      </c>
      <c r="AM86" s="147">
        <f>'[1]App 6-Residual Waste'!AD86+'[1]App 6-Residual Waste'!AJ86</f>
        <v>47.06</v>
      </c>
      <c r="AN86" s="147">
        <f>'[1]App 6-Residual Waste'!AE86+'[1]App 6-Residual Waste'!AK86</f>
        <v>3884.03</v>
      </c>
      <c r="AO86" s="140"/>
      <c r="AP86" s="147">
        <f t="shared" si="21"/>
        <v>10984.303572739616</v>
      </c>
      <c r="AQ86" s="147">
        <f t="shared" si="21"/>
        <v>7078.1735727396162</v>
      </c>
      <c r="AR86" s="147">
        <f t="shared" si="21"/>
        <v>3906.13</v>
      </c>
      <c r="AS86" s="148">
        <f t="shared" si="22"/>
        <v>0.64438983553822482</v>
      </c>
    </row>
    <row r="87" spans="1:45" ht="15.75" x14ac:dyDescent="0.25">
      <c r="A87" s="8">
        <v>15800</v>
      </c>
      <c r="B87" s="8" t="s">
        <v>145</v>
      </c>
      <c r="C87" s="8" t="s">
        <v>75</v>
      </c>
      <c r="D87" s="29" t="s">
        <v>1</v>
      </c>
      <c r="E87" s="145"/>
      <c r="F87" s="146">
        <f>'App 4 - Recyclables'!V87</f>
        <v>1003.7853338759837</v>
      </c>
      <c r="G87" s="146">
        <f>'App 4 - Recyclables'!W87</f>
        <v>968.84533387598367</v>
      </c>
      <c r="H87" s="146">
        <f>'App 4 - Recyclables'!X87</f>
        <v>34.94</v>
      </c>
      <c r="I87" s="146">
        <f>'App 5 - Organics'!V87</f>
        <v>0</v>
      </c>
      <c r="J87" s="146">
        <f>'App 5 - Organics'!W87</f>
        <v>0</v>
      </c>
      <c r="K87" s="146">
        <f>'App 5 - Organics'!X87</f>
        <v>0</v>
      </c>
      <c r="L87" s="147">
        <f>'App 6 - Residual Waste'!AC87</f>
        <v>2885.53</v>
      </c>
      <c r="M87" s="147">
        <f>'App 6 - Residual Waste'!AD87</f>
        <v>7.5299999999999994</v>
      </c>
      <c r="N87" s="147">
        <f>'App 6 - Residual Waste'!AE87</f>
        <v>2878</v>
      </c>
      <c r="O87" s="140"/>
      <c r="P87" s="147">
        <f t="shared" si="12"/>
        <v>3889.3153338759839</v>
      </c>
      <c r="Q87" s="147">
        <f t="shared" si="12"/>
        <v>976.37533387598364</v>
      </c>
      <c r="R87" s="147">
        <f t="shared" si="12"/>
        <v>2912.94</v>
      </c>
      <c r="S87" s="148">
        <f t="shared" si="13"/>
        <v>0.25104041458704635</v>
      </c>
      <c r="U87" s="149">
        <f>(P87*1000)/'App 1 - Services'!F87/52</f>
        <v>12.767928585090685</v>
      </c>
      <c r="V87" s="149">
        <f>(P87*1000)/'App 1 - Services'!G87/52</f>
        <v>29.046417728722808</v>
      </c>
      <c r="X87" s="150">
        <f t="shared" si="14"/>
        <v>0.25104041458704635</v>
      </c>
      <c r="Y87" s="151">
        <f t="shared" si="15"/>
        <v>1003.7853338759837</v>
      </c>
      <c r="Z87" s="152">
        <f t="shared" si="16"/>
        <v>0.25808792749021947</v>
      </c>
      <c r="AA87" s="151">
        <f t="shared" si="17"/>
        <v>0</v>
      </c>
      <c r="AB87" s="152">
        <f t="shared" si="18"/>
        <v>0</v>
      </c>
      <c r="AC87" s="151">
        <f t="shared" si="19"/>
        <v>2885.53</v>
      </c>
      <c r="AD87" s="152">
        <f t="shared" si="20"/>
        <v>0.74191207250978053</v>
      </c>
      <c r="AF87" s="146">
        <f>'[1]App 4-Recyclables'!V87+'[1]App 4-Recyclables'!AB87</f>
        <v>1003.7853338759837</v>
      </c>
      <c r="AG87" s="146">
        <f>'[1]App 4-Recyclables'!W87+'[1]App 4-Recyclables'!AC87</f>
        <v>968.84533387598367</v>
      </c>
      <c r="AH87" s="146">
        <f>'[1]App 4-Recyclables'!X87+'[1]App 4-Recyclables'!AD87</f>
        <v>34.94</v>
      </c>
      <c r="AI87" s="146">
        <f>'[1]App 5-Organics'!V87+'[1]App 5-Organics'!AD87</f>
        <v>0</v>
      </c>
      <c r="AJ87" s="146">
        <f>'[1]App 5-Organics'!W87+'[1]App 5-Organics'!AE87</f>
        <v>0</v>
      </c>
      <c r="AK87" s="146">
        <f>'[1]App 5-Organics'!X87+'[1]App 5-Organics'!AF87</f>
        <v>0</v>
      </c>
      <c r="AL87" s="147">
        <f>'[1]App 6-Residual Waste'!AC87+'[1]App 6-Residual Waste'!AI87</f>
        <v>2885.53</v>
      </c>
      <c r="AM87" s="147">
        <f>'[1]App 6-Residual Waste'!AD87+'[1]App 6-Residual Waste'!AJ87</f>
        <v>7.5299999999999994</v>
      </c>
      <c r="AN87" s="147">
        <f>'[1]App 6-Residual Waste'!AE87+'[1]App 6-Residual Waste'!AK87</f>
        <v>2878</v>
      </c>
      <c r="AO87" s="140"/>
      <c r="AP87" s="147">
        <f t="shared" si="21"/>
        <v>3889.3153338759839</v>
      </c>
      <c r="AQ87" s="147">
        <f t="shared" si="21"/>
        <v>976.37533387598364</v>
      </c>
      <c r="AR87" s="147">
        <f t="shared" si="21"/>
        <v>2912.94</v>
      </c>
      <c r="AS87" s="148">
        <f t="shared" si="22"/>
        <v>0.25104041458704635</v>
      </c>
    </row>
    <row r="88" spans="1:45" ht="15.75" x14ac:dyDescent="0.25">
      <c r="A88" s="8">
        <v>15850</v>
      </c>
      <c r="B88" s="8" t="s">
        <v>146</v>
      </c>
      <c r="C88" s="8" t="s">
        <v>42</v>
      </c>
      <c r="D88" s="29" t="s">
        <v>1</v>
      </c>
      <c r="E88" s="145"/>
      <c r="F88" s="146">
        <f>'App 4 - Recyclables'!V88</f>
        <v>317.44190872957893</v>
      </c>
      <c r="G88" s="146">
        <f>'App 4 - Recyclables'!W88</f>
        <v>304.25190872957893</v>
      </c>
      <c r="H88" s="146">
        <f>'App 4 - Recyclables'!X88</f>
        <v>13.19</v>
      </c>
      <c r="I88" s="146">
        <f>'App 5 - Organics'!V88</f>
        <v>805</v>
      </c>
      <c r="J88" s="146">
        <f>'App 5 - Organics'!W88</f>
        <v>805</v>
      </c>
      <c r="K88" s="146">
        <f>'App 5 - Organics'!X88</f>
        <v>0</v>
      </c>
      <c r="L88" s="147">
        <f>'App 6 - Residual Waste'!AC88</f>
        <v>1434</v>
      </c>
      <c r="M88" s="147">
        <f>'App 6 - Residual Waste'!AD88</f>
        <v>0</v>
      </c>
      <c r="N88" s="147">
        <f>'App 6 - Residual Waste'!AE88</f>
        <v>1434</v>
      </c>
      <c r="O88" s="140"/>
      <c r="P88" s="147">
        <f t="shared" si="12"/>
        <v>2556.4419087295792</v>
      </c>
      <c r="Q88" s="147">
        <f t="shared" si="12"/>
        <v>1109.2519087295789</v>
      </c>
      <c r="R88" s="147">
        <f t="shared" si="12"/>
        <v>1447.19</v>
      </c>
      <c r="S88" s="148">
        <f t="shared" si="13"/>
        <v>0.43390460191634878</v>
      </c>
      <c r="U88" s="149">
        <f>(P88*1000)/'App 1 - Services'!F88/52</f>
        <v>7.610270030750117</v>
      </c>
      <c r="V88" s="149">
        <f>(P88*1000)/'App 1 - Services'!G88/52</f>
        <v>14.618597799181016</v>
      </c>
      <c r="X88" s="150">
        <f t="shared" si="14"/>
        <v>0.43390460191634878</v>
      </c>
      <c r="Y88" s="151">
        <f t="shared" si="15"/>
        <v>317.44190872957893</v>
      </c>
      <c r="Z88" s="152">
        <f t="shared" si="16"/>
        <v>0.12417333155335859</v>
      </c>
      <c r="AA88" s="151">
        <f t="shared" si="17"/>
        <v>805</v>
      </c>
      <c r="AB88" s="152">
        <f t="shared" si="18"/>
        <v>0.31489078521641189</v>
      </c>
      <c r="AC88" s="151">
        <f t="shared" si="19"/>
        <v>1434</v>
      </c>
      <c r="AD88" s="152">
        <f t="shared" si="20"/>
        <v>0.56093588323022936</v>
      </c>
      <c r="AF88" s="146">
        <f>'[1]App 4-Recyclables'!V88+'[1]App 4-Recyclables'!AB88</f>
        <v>317.44190872957893</v>
      </c>
      <c r="AG88" s="146">
        <f>'[1]App 4-Recyclables'!W88+'[1]App 4-Recyclables'!AC88</f>
        <v>304.25190872957893</v>
      </c>
      <c r="AH88" s="146">
        <f>'[1]App 4-Recyclables'!X88+'[1]App 4-Recyclables'!AD88</f>
        <v>13.19</v>
      </c>
      <c r="AI88" s="146">
        <f>'[1]App 5-Organics'!V88+'[1]App 5-Organics'!AD88</f>
        <v>805</v>
      </c>
      <c r="AJ88" s="146">
        <f>'[1]App 5-Organics'!W88+'[1]App 5-Organics'!AE88</f>
        <v>805</v>
      </c>
      <c r="AK88" s="146">
        <f>'[1]App 5-Organics'!X88+'[1]App 5-Organics'!AF88</f>
        <v>0</v>
      </c>
      <c r="AL88" s="147">
        <f>'[1]App 6-Residual Waste'!AC88+'[1]App 6-Residual Waste'!AI88</f>
        <v>1434</v>
      </c>
      <c r="AM88" s="147">
        <f>'[1]App 6-Residual Waste'!AD88+'[1]App 6-Residual Waste'!AJ88</f>
        <v>0</v>
      </c>
      <c r="AN88" s="147">
        <f>'[1]App 6-Residual Waste'!AE88+'[1]App 6-Residual Waste'!AK88</f>
        <v>1434</v>
      </c>
      <c r="AO88" s="140"/>
      <c r="AP88" s="147">
        <f t="shared" si="21"/>
        <v>2556.4419087295792</v>
      </c>
      <c r="AQ88" s="147">
        <f t="shared" si="21"/>
        <v>1109.2519087295789</v>
      </c>
      <c r="AR88" s="147">
        <f t="shared" si="21"/>
        <v>1447.19</v>
      </c>
      <c r="AS88" s="148">
        <f t="shared" si="22"/>
        <v>0.43390460191634878</v>
      </c>
    </row>
    <row r="89" spans="1:45" ht="15.75" x14ac:dyDescent="0.25">
      <c r="A89" s="8">
        <v>15900</v>
      </c>
      <c r="B89" s="8" t="s">
        <v>147</v>
      </c>
      <c r="C89" s="8" t="s">
        <v>25</v>
      </c>
      <c r="D89" s="29" t="s">
        <v>2</v>
      </c>
      <c r="E89" s="145"/>
      <c r="F89" s="146">
        <f>'App 4 - Recyclables'!V89</f>
        <v>16717.426196452623</v>
      </c>
      <c r="G89" s="146">
        <f>'App 4 - Recyclables'!W89</f>
        <v>15377.786196452622</v>
      </c>
      <c r="H89" s="146">
        <f>'App 4 - Recyclables'!X89</f>
        <v>1339.64</v>
      </c>
      <c r="I89" s="146">
        <f>'App 5 - Organics'!V89</f>
        <v>16567.34</v>
      </c>
      <c r="J89" s="146">
        <f>'App 5 - Organics'!W89</f>
        <v>16401.670000000002</v>
      </c>
      <c r="K89" s="146">
        <f>'App 5 - Organics'!X89</f>
        <v>165.67</v>
      </c>
      <c r="L89" s="147">
        <f>'App 6 - Residual Waste'!AC89</f>
        <v>54309.94</v>
      </c>
      <c r="M89" s="147">
        <f>'App 6 - Residual Waste'!AD89</f>
        <v>3470.3700000000008</v>
      </c>
      <c r="N89" s="147">
        <f>'App 6 - Residual Waste'!AE89</f>
        <v>50839.57</v>
      </c>
      <c r="O89" s="140"/>
      <c r="P89" s="147">
        <f t="shared" si="12"/>
        <v>87594.706196452622</v>
      </c>
      <c r="Q89" s="147">
        <f t="shared" si="12"/>
        <v>35249.826196452625</v>
      </c>
      <c r="R89" s="147">
        <f t="shared" si="12"/>
        <v>52344.88</v>
      </c>
      <c r="S89" s="148">
        <f t="shared" si="13"/>
        <v>0.40241959505402347</v>
      </c>
      <c r="U89" s="149">
        <f>(P89*1000)/'App 1 - Services'!F89/52</f>
        <v>10.06502978974452</v>
      </c>
      <c r="V89" s="149">
        <f>(P89*1000)/'App 1 - Services'!G89/52</f>
        <v>23.096093517529468</v>
      </c>
      <c r="X89" s="150">
        <f t="shared" si="14"/>
        <v>0.40241959505402347</v>
      </c>
      <c r="Y89" s="151">
        <f t="shared" si="15"/>
        <v>16717.426196452623</v>
      </c>
      <c r="Z89" s="152">
        <f t="shared" si="16"/>
        <v>0.19084973193425289</v>
      </c>
      <c r="AA89" s="151">
        <f t="shared" si="17"/>
        <v>16567.34</v>
      </c>
      <c r="AB89" s="152">
        <f t="shared" si="18"/>
        <v>0.18913631564496233</v>
      </c>
      <c r="AC89" s="151">
        <f t="shared" si="19"/>
        <v>54309.94</v>
      </c>
      <c r="AD89" s="152">
        <f t="shared" si="20"/>
        <v>0.62001395242078483</v>
      </c>
      <c r="AF89" s="146">
        <f>'[1]App 4-Recyclables'!V89+'[1]App 4-Recyclables'!AB89</f>
        <v>16719.986196452624</v>
      </c>
      <c r="AG89" s="146">
        <f>'[1]App 4-Recyclables'!W89+'[1]App 4-Recyclables'!AC89</f>
        <v>15379.786196452622</v>
      </c>
      <c r="AH89" s="146">
        <f>'[1]App 4-Recyclables'!X89+'[1]App 4-Recyclables'!AD89</f>
        <v>1339.64</v>
      </c>
      <c r="AI89" s="146">
        <f>'[1]App 5-Organics'!V89+'[1]App 5-Organics'!AD89</f>
        <v>16935.310000000001</v>
      </c>
      <c r="AJ89" s="146">
        <f>'[1]App 5-Organics'!W89+'[1]App 5-Organics'!AE89</f>
        <v>16768.670000000002</v>
      </c>
      <c r="AK89" s="146">
        <f>'[1]App 5-Organics'!X89+'[1]App 5-Organics'!AF89</f>
        <v>165.67</v>
      </c>
      <c r="AL89" s="147">
        <f>'[1]App 6-Residual Waste'!AC89+'[1]App 6-Residual Waste'!AI89</f>
        <v>66589.040000000008</v>
      </c>
      <c r="AM89" s="147">
        <f>'[1]App 6-Residual Waste'!AD89+'[1]App 6-Residual Waste'!AJ89</f>
        <v>3470.3700000000008</v>
      </c>
      <c r="AN89" s="147">
        <f>'[1]App 6-Residual Waste'!AE89+'[1]App 6-Residual Waste'!AK89</f>
        <v>63118.57</v>
      </c>
      <c r="AO89" s="140"/>
      <c r="AP89" s="147">
        <f t="shared" si="21"/>
        <v>100244.33619645264</v>
      </c>
      <c r="AQ89" s="147">
        <f t="shared" si="21"/>
        <v>35618.826196452625</v>
      </c>
      <c r="AR89" s="147">
        <f t="shared" si="21"/>
        <v>64623.88</v>
      </c>
      <c r="AS89" s="148">
        <f t="shared" si="22"/>
        <v>0.35532008638023255</v>
      </c>
    </row>
    <row r="90" spans="1:45" ht="15.75" x14ac:dyDescent="0.25">
      <c r="A90" s="8">
        <v>15950</v>
      </c>
      <c r="B90" s="8" t="s">
        <v>62</v>
      </c>
      <c r="C90" s="8" t="s">
        <v>26</v>
      </c>
      <c r="D90" s="29" t="s">
        <v>3</v>
      </c>
      <c r="E90" s="145"/>
      <c r="F90" s="146">
        <f>'App 4 - Recyclables'!V90</f>
        <v>6269.0875160950254</v>
      </c>
      <c r="G90" s="146">
        <f>'App 4 - Recyclables'!W90</f>
        <v>5912.5175160950257</v>
      </c>
      <c r="H90" s="146">
        <f>'App 4 - Recyclables'!X90</f>
        <v>356.57</v>
      </c>
      <c r="I90" s="146">
        <f>'App 5 - Organics'!V90</f>
        <v>1918</v>
      </c>
      <c r="J90" s="146">
        <f>'App 5 - Organics'!W90</f>
        <v>1918</v>
      </c>
      <c r="K90" s="146">
        <f>'App 5 - Organics'!X90</f>
        <v>0</v>
      </c>
      <c r="L90" s="147">
        <f>'App 6 - Residual Waste'!AC90</f>
        <v>15720</v>
      </c>
      <c r="M90" s="147">
        <f>'App 6 - Residual Waste'!AD90</f>
        <v>193</v>
      </c>
      <c r="N90" s="147">
        <f>'App 6 - Residual Waste'!AE90</f>
        <v>15527</v>
      </c>
      <c r="O90" s="140"/>
      <c r="P90" s="147">
        <f t="shared" si="12"/>
        <v>23907.087516095024</v>
      </c>
      <c r="Q90" s="147">
        <f t="shared" si="12"/>
        <v>8023.5175160950257</v>
      </c>
      <c r="R90" s="147">
        <f t="shared" si="12"/>
        <v>15883.57</v>
      </c>
      <c r="S90" s="148">
        <f t="shared" si="13"/>
        <v>0.33561250447982566</v>
      </c>
      <c r="U90" s="149">
        <f>(P90*1000)/'App 1 - Services'!F90/52</f>
        <v>6.1223490958242657</v>
      </c>
      <c r="V90" s="149">
        <f>(P90*1000)/'App 1 - Services'!G90/52</f>
        <v>11.295000073747726</v>
      </c>
      <c r="X90" s="150">
        <f t="shared" si="14"/>
        <v>0.33561250447982566</v>
      </c>
      <c r="Y90" s="151">
        <f t="shared" si="15"/>
        <v>6269.0875160950254</v>
      </c>
      <c r="Z90" s="152">
        <f t="shared" si="16"/>
        <v>0.26222715384609158</v>
      </c>
      <c r="AA90" s="151">
        <f t="shared" si="17"/>
        <v>1918</v>
      </c>
      <c r="AB90" s="152">
        <f t="shared" si="18"/>
        <v>8.0227254729742403E-2</v>
      </c>
      <c r="AC90" s="151">
        <f t="shared" si="19"/>
        <v>15720</v>
      </c>
      <c r="AD90" s="152">
        <f t="shared" si="20"/>
        <v>0.65754559142416613</v>
      </c>
      <c r="AF90" s="146">
        <f>'[1]App 4-Recyclables'!V90+'[1]App 4-Recyclables'!AB90</f>
        <v>6269.0875160950254</v>
      </c>
      <c r="AG90" s="146">
        <f>'[1]App 4-Recyclables'!W90+'[1]App 4-Recyclables'!AC90</f>
        <v>5912.5175160950257</v>
      </c>
      <c r="AH90" s="146">
        <f>'[1]App 4-Recyclables'!X90+'[1]App 4-Recyclables'!AD90</f>
        <v>356.57</v>
      </c>
      <c r="AI90" s="146">
        <f>'[1]App 5-Organics'!V90+'[1]App 5-Organics'!AD90</f>
        <v>2099</v>
      </c>
      <c r="AJ90" s="146">
        <f>'[1]App 5-Organics'!W90+'[1]App 5-Organics'!AE90</f>
        <v>2099</v>
      </c>
      <c r="AK90" s="146">
        <f>'[1]App 5-Organics'!X90+'[1]App 5-Organics'!AF90</f>
        <v>0</v>
      </c>
      <c r="AL90" s="147">
        <f>'[1]App 6-Residual Waste'!AC90+'[1]App 6-Residual Waste'!AI90</f>
        <v>15955</v>
      </c>
      <c r="AM90" s="147">
        <f>'[1]App 6-Residual Waste'!AD90+'[1]App 6-Residual Waste'!AJ90</f>
        <v>428</v>
      </c>
      <c r="AN90" s="147">
        <f>'[1]App 6-Residual Waste'!AE90+'[1]App 6-Residual Waste'!AK90</f>
        <v>15527</v>
      </c>
      <c r="AO90" s="140"/>
      <c r="AP90" s="147">
        <f t="shared" si="21"/>
        <v>24323.087516095024</v>
      </c>
      <c r="AQ90" s="147">
        <f t="shared" si="21"/>
        <v>8439.5175160950257</v>
      </c>
      <c r="AR90" s="147">
        <f t="shared" si="21"/>
        <v>15883.57</v>
      </c>
      <c r="AS90" s="148">
        <f t="shared" si="22"/>
        <v>0.346975584843431</v>
      </c>
    </row>
    <row r="91" spans="1:45" ht="15.75" x14ac:dyDescent="0.25">
      <c r="A91" s="8">
        <v>15990</v>
      </c>
      <c r="B91" s="8" t="s">
        <v>148</v>
      </c>
      <c r="C91" s="8"/>
      <c r="D91" s="29" t="s">
        <v>3</v>
      </c>
      <c r="E91" s="145"/>
      <c r="F91" s="146">
        <f>'App 4 - Recyclables'!V91</f>
        <v>26795.72683365675</v>
      </c>
      <c r="G91" s="146">
        <f>'App 4 - Recyclables'!W91</f>
        <v>25830.156833656751</v>
      </c>
      <c r="H91" s="146">
        <f>'App 4 - Recyclables'!X91</f>
        <v>965.56999999999994</v>
      </c>
      <c r="I91" s="146">
        <f>'App 5 - Organics'!V91</f>
        <v>29505.7</v>
      </c>
      <c r="J91" s="146">
        <f>'App 5 - Organics'!W91</f>
        <v>29505.7</v>
      </c>
      <c r="K91" s="146">
        <f>'App 5 - Organics'!X91</f>
        <v>0</v>
      </c>
      <c r="L91" s="147">
        <f>'App 6 - Residual Waste'!AC91</f>
        <v>56500.69</v>
      </c>
      <c r="M91" s="147">
        <f>'App 6 - Residual Waste'!AD91</f>
        <v>16198.309999999998</v>
      </c>
      <c r="N91" s="147">
        <f>'App 6 - Residual Waste'!AE91</f>
        <v>40302.380000000005</v>
      </c>
      <c r="O91" s="140"/>
      <c r="P91" s="147">
        <f t="shared" si="12"/>
        <v>112802.11683365675</v>
      </c>
      <c r="Q91" s="147">
        <f t="shared" si="12"/>
        <v>71534.166833656753</v>
      </c>
      <c r="R91" s="147">
        <f t="shared" si="12"/>
        <v>41267.950000000004</v>
      </c>
      <c r="S91" s="148">
        <f t="shared" si="13"/>
        <v>0.63415624495012235</v>
      </c>
      <c r="U91" s="149">
        <f>(P91*1000)/'App 1 - Services'!F91/52</f>
        <v>7.9158646975099414</v>
      </c>
      <c r="V91" s="149">
        <f>(P91*1000)/'App 1 - Services'!G91/52</f>
        <v>18.886222162374388</v>
      </c>
      <c r="X91" s="150">
        <f t="shared" si="14"/>
        <v>0.63415624495012235</v>
      </c>
      <c r="Y91" s="151">
        <f t="shared" si="15"/>
        <v>26795.72683365675</v>
      </c>
      <c r="Z91" s="152">
        <f t="shared" si="16"/>
        <v>0.23754631194706191</v>
      </c>
      <c r="AA91" s="151">
        <f t="shared" si="17"/>
        <v>29505.7</v>
      </c>
      <c r="AB91" s="152">
        <f t="shared" si="18"/>
        <v>0.26157044591202555</v>
      </c>
      <c r="AC91" s="151">
        <f t="shared" si="19"/>
        <v>56500.69</v>
      </c>
      <c r="AD91" s="152">
        <f t="shared" si="20"/>
        <v>0.50088324214091251</v>
      </c>
      <c r="AF91" s="146">
        <f>'[1]App 4-Recyclables'!V91+'[1]App 4-Recyclables'!AB91</f>
        <v>26795.72683365675</v>
      </c>
      <c r="AG91" s="146">
        <f>'[1]App 4-Recyclables'!W91+'[1]App 4-Recyclables'!AC91</f>
        <v>25830.156833656751</v>
      </c>
      <c r="AH91" s="146">
        <f>'[1]App 4-Recyclables'!X91+'[1]App 4-Recyclables'!AD91</f>
        <v>965.56999999999994</v>
      </c>
      <c r="AI91" s="146">
        <f>'[1]App 5-Organics'!V91+'[1]App 5-Organics'!AD91</f>
        <v>29505.7</v>
      </c>
      <c r="AJ91" s="146">
        <f>'[1]App 5-Organics'!W91+'[1]App 5-Organics'!AE91</f>
        <v>29505.7</v>
      </c>
      <c r="AK91" s="146">
        <f>'[1]App 5-Organics'!X91+'[1]App 5-Organics'!AF91</f>
        <v>0</v>
      </c>
      <c r="AL91" s="147">
        <f>'[1]App 6-Residual Waste'!AC91+'[1]App 6-Residual Waste'!AI91</f>
        <v>56500.69</v>
      </c>
      <c r="AM91" s="147">
        <f>'[1]App 6-Residual Waste'!AD91+'[1]App 6-Residual Waste'!AJ91</f>
        <v>16198.309999999998</v>
      </c>
      <c r="AN91" s="147">
        <f>'[1]App 6-Residual Waste'!AE91+'[1]App 6-Residual Waste'!AK91</f>
        <v>40302.380000000005</v>
      </c>
      <c r="AO91" s="140"/>
      <c r="AP91" s="147">
        <f t="shared" si="21"/>
        <v>112802.11683365675</v>
      </c>
      <c r="AQ91" s="147">
        <f t="shared" si="21"/>
        <v>71534.166833656753</v>
      </c>
      <c r="AR91" s="147">
        <f t="shared" si="21"/>
        <v>41267.950000000004</v>
      </c>
      <c r="AS91" s="148">
        <f t="shared" si="22"/>
        <v>0.63415624495012235</v>
      </c>
    </row>
    <row r="92" spans="1:45" ht="15.75" x14ac:dyDescent="0.25">
      <c r="A92" s="8">
        <v>16100</v>
      </c>
      <c r="B92" s="8" t="s">
        <v>149</v>
      </c>
      <c r="C92" s="8" t="s">
        <v>42</v>
      </c>
      <c r="D92" s="29" t="s">
        <v>1</v>
      </c>
      <c r="E92" s="145"/>
      <c r="F92" s="146">
        <f>'App 4 - Recyclables'!V92</f>
        <v>695.16614866433758</v>
      </c>
      <c r="G92" s="146">
        <f>'App 4 - Recyclables'!W92</f>
        <v>689.86614866433763</v>
      </c>
      <c r="H92" s="146">
        <f>'App 4 - Recyclables'!X92</f>
        <v>5.3</v>
      </c>
      <c r="I92" s="146">
        <f>'App 5 - Organics'!V92</f>
        <v>152</v>
      </c>
      <c r="J92" s="146">
        <f>'App 5 - Organics'!W92</f>
        <v>152</v>
      </c>
      <c r="K92" s="146">
        <f>'App 5 - Organics'!X92</f>
        <v>0</v>
      </c>
      <c r="L92" s="147">
        <f>'App 6 - Residual Waste'!AC92</f>
        <v>4228</v>
      </c>
      <c r="M92" s="147">
        <f>'App 6 - Residual Waste'!AD92</f>
        <v>14</v>
      </c>
      <c r="N92" s="147">
        <f>'App 6 - Residual Waste'!AE92</f>
        <v>4214</v>
      </c>
      <c r="O92" s="140"/>
      <c r="P92" s="147">
        <f t="shared" si="12"/>
        <v>5075.1661486643379</v>
      </c>
      <c r="Q92" s="147">
        <f t="shared" si="12"/>
        <v>855.86614866433763</v>
      </c>
      <c r="R92" s="147">
        <f t="shared" si="12"/>
        <v>4219.3</v>
      </c>
      <c r="S92" s="148">
        <f t="shared" si="13"/>
        <v>0.16863805510871424</v>
      </c>
      <c r="U92" s="149">
        <f>(P92*1000)/'App 1 - Services'!F92/52</f>
        <v>18.010582951241137</v>
      </c>
      <c r="V92" s="149">
        <f>(P92*1000)/'App 1 - Services'!G92/52</f>
        <v>24.828122363972454</v>
      </c>
      <c r="X92" s="150">
        <f t="shared" si="14"/>
        <v>0.16863805510871424</v>
      </c>
      <c r="Y92" s="151">
        <f t="shared" si="15"/>
        <v>695.16614866433758</v>
      </c>
      <c r="Z92" s="152">
        <f t="shared" si="16"/>
        <v>0.13697406711449017</v>
      </c>
      <c r="AA92" s="151">
        <f t="shared" si="17"/>
        <v>152</v>
      </c>
      <c r="AB92" s="152">
        <f t="shared" si="18"/>
        <v>2.9949758401506276E-2</v>
      </c>
      <c r="AC92" s="151">
        <f t="shared" si="19"/>
        <v>4228</v>
      </c>
      <c r="AD92" s="152">
        <f t="shared" si="20"/>
        <v>0.83307617448400351</v>
      </c>
      <c r="AF92" s="146">
        <f>'[1]App 4-Recyclables'!V92+'[1]App 4-Recyclables'!AB92</f>
        <v>695.16614866433758</v>
      </c>
      <c r="AG92" s="146">
        <f>'[1]App 4-Recyclables'!W92+'[1]App 4-Recyclables'!AC92</f>
        <v>689.86614866433763</v>
      </c>
      <c r="AH92" s="146">
        <f>'[1]App 4-Recyclables'!X92+'[1]App 4-Recyclables'!AD92</f>
        <v>5.3</v>
      </c>
      <c r="AI92" s="146">
        <f>'[1]App 5-Organics'!V92+'[1]App 5-Organics'!AD92</f>
        <v>198</v>
      </c>
      <c r="AJ92" s="146">
        <f>'[1]App 5-Organics'!W92+'[1]App 5-Organics'!AE92</f>
        <v>198</v>
      </c>
      <c r="AK92" s="146">
        <f>'[1]App 5-Organics'!X92+'[1]App 5-Organics'!AF92</f>
        <v>0</v>
      </c>
      <c r="AL92" s="147">
        <f>'[1]App 6-Residual Waste'!AC92+'[1]App 6-Residual Waste'!AI92</f>
        <v>4228</v>
      </c>
      <c r="AM92" s="147">
        <f>'[1]App 6-Residual Waste'!AD92+'[1]App 6-Residual Waste'!AJ92</f>
        <v>14</v>
      </c>
      <c r="AN92" s="147">
        <f>'[1]App 6-Residual Waste'!AE92+'[1]App 6-Residual Waste'!AK92</f>
        <v>4214</v>
      </c>
      <c r="AO92" s="140"/>
      <c r="AP92" s="147">
        <f t="shared" si="21"/>
        <v>5121.1661486643379</v>
      </c>
      <c r="AQ92" s="147">
        <f t="shared" si="21"/>
        <v>901.86614866433763</v>
      </c>
      <c r="AR92" s="147">
        <f t="shared" si="21"/>
        <v>4219.3</v>
      </c>
      <c r="AS92" s="148">
        <f t="shared" si="22"/>
        <v>0.17610562174389816</v>
      </c>
    </row>
    <row r="93" spans="1:45" ht="15.75" x14ac:dyDescent="0.25">
      <c r="A93" s="8">
        <v>16150</v>
      </c>
      <c r="B93" s="8" t="s">
        <v>150</v>
      </c>
      <c r="C93" s="8" t="s">
        <v>42</v>
      </c>
      <c r="D93" s="29" t="s">
        <v>1</v>
      </c>
      <c r="E93" s="145"/>
      <c r="F93" s="146">
        <f>'App 4 - Recyclables'!V93</f>
        <v>4640.7962986153143</v>
      </c>
      <c r="G93" s="146">
        <f>'App 4 - Recyclables'!W93</f>
        <v>4619.9562986153142</v>
      </c>
      <c r="H93" s="146">
        <f>'App 4 - Recyclables'!X93</f>
        <v>20.84</v>
      </c>
      <c r="I93" s="146">
        <f>'App 5 - Organics'!V93</f>
        <v>11916.4</v>
      </c>
      <c r="J93" s="146">
        <f>'App 5 - Organics'!W93</f>
        <v>11876</v>
      </c>
      <c r="K93" s="146">
        <f>'App 5 - Organics'!X93</f>
        <v>40.4</v>
      </c>
      <c r="L93" s="147">
        <f>'App 6 - Residual Waste'!AC93</f>
        <v>19293.2</v>
      </c>
      <c r="M93" s="147">
        <f>'App 6 - Residual Waste'!AD93</f>
        <v>47.23</v>
      </c>
      <c r="N93" s="147">
        <f>'App 6 - Residual Waste'!AE93</f>
        <v>19245.97</v>
      </c>
      <c r="O93" s="140"/>
      <c r="P93" s="147">
        <f t="shared" si="12"/>
        <v>35850.39629861532</v>
      </c>
      <c r="Q93" s="147">
        <f t="shared" si="12"/>
        <v>16543.186298615314</v>
      </c>
      <c r="R93" s="147">
        <f t="shared" si="12"/>
        <v>19307.210000000003</v>
      </c>
      <c r="S93" s="148">
        <f t="shared" si="13"/>
        <v>0.46145058372072373</v>
      </c>
      <c r="U93" s="149">
        <f>(P93*1000)/'App 1 - Services'!F93/52</f>
        <v>16.220753783269291</v>
      </c>
      <c r="V93" s="149">
        <f>(P93*1000)/'App 1 - Services'!G93/52</f>
        <v>35.883552701311331</v>
      </c>
      <c r="X93" s="150">
        <f t="shared" si="14"/>
        <v>0.46145058372072373</v>
      </c>
      <c r="Y93" s="151">
        <f t="shared" si="15"/>
        <v>4640.7962986153143</v>
      </c>
      <c r="Z93" s="152">
        <f t="shared" si="16"/>
        <v>0.12944895392396427</v>
      </c>
      <c r="AA93" s="151">
        <f t="shared" si="17"/>
        <v>11916.4</v>
      </c>
      <c r="AB93" s="152">
        <f t="shared" si="18"/>
        <v>0.33239242045590039</v>
      </c>
      <c r="AC93" s="151">
        <f t="shared" si="19"/>
        <v>19293.2</v>
      </c>
      <c r="AD93" s="152">
        <f t="shared" si="20"/>
        <v>0.53815862562013517</v>
      </c>
      <c r="AF93" s="146">
        <f>'[1]App 4-Recyclables'!V93+'[1]App 4-Recyclables'!AB93</f>
        <v>5422.8962986153147</v>
      </c>
      <c r="AG93" s="146">
        <f>'[1]App 4-Recyclables'!W93+'[1]App 4-Recyclables'!AC93</f>
        <v>5401.9562986153142</v>
      </c>
      <c r="AH93" s="146">
        <f>'[1]App 4-Recyclables'!X93+'[1]App 4-Recyclables'!AD93</f>
        <v>20.84</v>
      </c>
      <c r="AI93" s="146">
        <f>'[1]App 5-Organics'!V93+'[1]App 5-Organics'!AD93</f>
        <v>11942.199999999999</v>
      </c>
      <c r="AJ93" s="146">
        <f>'[1]App 5-Organics'!W93+'[1]App 5-Organics'!AE93</f>
        <v>11876</v>
      </c>
      <c r="AK93" s="146">
        <f>'[1]App 5-Organics'!X93+'[1]App 5-Organics'!AF93</f>
        <v>66.2</v>
      </c>
      <c r="AL93" s="147">
        <f>'[1]App 6-Residual Waste'!AC93+'[1]App 6-Residual Waste'!AI93</f>
        <v>20354.2</v>
      </c>
      <c r="AM93" s="147">
        <f>'[1]App 6-Residual Waste'!AD93+'[1]App 6-Residual Waste'!AJ93</f>
        <v>49.23</v>
      </c>
      <c r="AN93" s="147">
        <f>'[1]App 6-Residual Waste'!AE93+'[1]App 6-Residual Waste'!AK93</f>
        <v>20305.07</v>
      </c>
      <c r="AO93" s="140"/>
      <c r="AP93" s="147">
        <f t="shared" si="21"/>
        <v>37719.296298615314</v>
      </c>
      <c r="AQ93" s="147">
        <f t="shared" si="21"/>
        <v>17327.186298615314</v>
      </c>
      <c r="AR93" s="147">
        <f t="shared" si="21"/>
        <v>20392.11</v>
      </c>
      <c r="AS93" s="148">
        <f t="shared" si="22"/>
        <v>0.45937193953566413</v>
      </c>
    </row>
    <row r="94" spans="1:45" ht="15.75" x14ac:dyDescent="0.25">
      <c r="A94" s="8">
        <v>16200</v>
      </c>
      <c r="B94" s="8" t="s">
        <v>151</v>
      </c>
      <c r="C94" s="8" t="s">
        <v>42</v>
      </c>
      <c r="D94" s="29" t="s">
        <v>1</v>
      </c>
      <c r="E94" s="145"/>
      <c r="F94" s="146">
        <f>'App 4 - Recyclables'!V94</f>
        <v>3219.8878615391045</v>
      </c>
      <c r="G94" s="146">
        <f>'App 4 - Recyclables'!W94</f>
        <v>3142.7378615391049</v>
      </c>
      <c r="H94" s="146">
        <f>'App 4 - Recyclables'!X94</f>
        <v>77.149999999999991</v>
      </c>
      <c r="I94" s="146">
        <f>'App 5 - Organics'!V94</f>
        <v>2994.4</v>
      </c>
      <c r="J94" s="146">
        <f>'App 5 - Organics'!W94</f>
        <v>2994.4</v>
      </c>
      <c r="K94" s="146">
        <f>'App 5 - Organics'!X94</f>
        <v>0</v>
      </c>
      <c r="L94" s="147">
        <f>'App 6 - Residual Waste'!AC94</f>
        <v>3106.6</v>
      </c>
      <c r="M94" s="147">
        <f>'App 6 - Residual Waste'!AD94</f>
        <v>5.5</v>
      </c>
      <c r="N94" s="147">
        <f>'App 6 - Residual Waste'!AE94</f>
        <v>3101.1</v>
      </c>
      <c r="O94" s="140"/>
      <c r="P94" s="147">
        <f t="shared" si="12"/>
        <v>9320.8878615391041</v>
      </c>
      <c r="Q94" s="147">
        <f t="shared" si="12"/>
        <v>6142.637861539105</v>
      </c>
      <c r="R94" s="147">
        <f t="shared" si="12"/>
        <v>3178.25</v>
      </c>
      <c r="S94" s="148">
        <f t="shared" si="13"/>
        <v>0.65901853479919525</v>
      </c>
      <c r="U94" s="149">
        <f>(P94*1000)/'App 1 - Services'!F94/52</f>
        <v>12.170548851923996</v>
      </c>
      <c r="V94" s="149">
        <f>(P94*1000)/'App 1 - Services'!G94/52</f>
        <v>21.904905718090752</v>
      </c>
      <c r="X94" s="150">
        <f t="shared" si="14"/>
        <v>0.65901853479919525</v>
      </c>
      <c r="Y94" s="151">
        <f t="shared" si="15"/>
        <v>3219.8878615391045</v>
      </c>
      <c r="Z94" s="152">
        <f t="shared" si="16"/>
        <v>0.34544862135133797</v>
      </c>
      <c r="AA94" s="151">
        <f t="shared" si="17"/>
        <v>2994.4</v>
      </c>
      <c r="AB94" s="152">
        <f t="shared" si="18"/>
        <v>0.32125694938953508</v>
      </c>
      <c r="AC94" s="151">
        <f t="shared" si="19"/>
        <v>3106.6</v>
      </c>
      <c r="AD94" s="152">
        <f t="shared" si="20"/>
        <v>0.33329442925912695</v>
      </c>
      <c r="AF94" s="146">
        <f>'[1]App 4-Recyclables'!V94+'[1]App 4-Recyclables'!AB94</f>
        <v>6802.6978615391045</v>
      </c>
      <c r="AG94" s="146">
        <f>'[1]App 4-Recyclables'!W94+'[1]App 4-Recyclables'!AC94</f>
        <v>6724.7378615391044</v>
      </c>
      <c r="AH94" s="146">
        <f>'[1]App 4-Recyclables'!X94+'[1]App 4-Recyclables'!AD94</f>
        <v>77.149999999999991</v>
      </c>
      <c r="AI94" s="146">
        <f>'[1]App 5-Organics'!V94+'[1]App 5-Organics'!AD94</f>
        <v>3995.83</v>
      </c>
      <c r="AJ94" s="146">
        <f>'[1]App 5-Organics'!W94+'[1]App 5-Organics'!AE94</f>
        <v>3995.4</v>
      </c>
      <c r="AK94" s="146">
        <f>'[1]App 5-Organics'!X94+'[1]App 5-Organics'!AF94</f>
        <v>0</v>
      </c>
      <c r="AL94" s="147">
        <f>'[1]App 6-Residual Waste'!AC94+'[1]App 6-Residual Waste'!AI94</f>
        <v>12784.07</v>
      </c>
      <c r="AM94" s="147">
        <f>'[1]App 6-Residual Waste'!AD94+'[1]App 6-Residual Waste'!AJ94</f>
        <v>1710.5</v>
      </c>
      <c r="AN94" s="147">
        <f>'[1]App 6-Residual Waste'!AE94+'[1]App 6-Residual Waste'!AK94</f>
        <v>11073.51</v>
      </c>
      <c r="AO94" s="140"/>
      <c r="AP94" s="147">
        <f t="shared" si="21"/>
        <v>23582.597861539103</v>
      </c>
      <c r="AQ94" s="147">
        <f t="shared" si="21"/>
        <v>12430.637861539104</v>
      </c>
      <c r="AR94" s="147">
        <f t="shared" si="21"/>
        <v>11150.66</v>
      </c>
      <c r="AS94" s="148">
        <f t="shared" si="22"/>
        <v>0.52711062345731852</v>
      </c>
    </row>
    <row r="95" spans="1:45" ht="15.75" x14ac:dyDescent="0.25">
      <c r="A95" s="8">
        <v>16260</v>
      </c>
      <c r="B95" s="8" t="s">
        <v>63</v>
      </c>
      <c r="C95" s="8" t="s">
        <v>19</v>
      </c>
      <c r="D95" s="29" t="s">
        <v>3</v>
      </c>
      <c r="E95" s="145"/>
      <c r="F95" s="146">
        <f>'App 4 - Recyclables'!V95</f>
        <v>14052.344216050671</v>
      </c>
      <c r="G95" s="146">
        <f>'App 4 - Recyclables'!W95</f>
        <v>12887.344216050671</v>
      </c>
      <c r="H95" s="146">
        <f>'App 4 - Recyclables'!X95</f>
        <v>1165</v>
      </c>
      <c r="I95" s="146">
        <f>'App 5 - Organics'!V95</f>
        <v>18391</v>
      </c>
      <c r="J95" s="146">
        <f>'App 5 - Organics'!W95</f>
        <v>18376</v>
      </c>
      <c r="K95" s="146">
        <f>'App 5 - Organics'!X95</f>
        <v>15</v>
      </c>
      <c r="L95" s="147">
        <f>'App 6 - Residual Waste'!AC95</f>
        <v>54374</v>
      </c>
      <c r="M95" s="147">
        <f>'App 6 - Residual Waste'!AD95</f>
        <v>21059</v>
      </c>
      <c r="N95" s="147">
        <f>'App 6 - Residual Waste'!AE95</f>
        <v>33315</v>
      </c>
      <c r="O95" s="140"/>
      <c r="P95" s="147">
        <f t="shared" si="12"/>
        <v>86817.344216050667</v>
      </c>
      <c r="Q95" s="147">
        <f t="shared" si="12"/>
        <v>52322.344216050667</v>
      </c>
      <c r="R95" s="147">
        <f t="shared" si="12"/>
        <v>34495</v>
      </c>
      <c r="S95" s="148">
        <f t="shared" si="13"/>
        <v>0.60267155933546035</v>
      </c>
      <c r="U95" s="149">
        <f>(P95*1000)/'App 1 - Services'!F95/52</f>
        <v>6.4140989944030196</v>
      </c>
      <c r="V95" s="149">
        <f>(P95*1000)/'App 1 - Services'!G95/52</f>
        <v>16.832321569616571</v>
      </c>
      <c r="X95" s="150">
        <f t="shared" si="14"/>
        <v>0.60267155933546035</v>
      </c>
      <c r="Y95" s="151">
        <f t="shared" si="15"/>
        <v>14052.344216050671</v>
      </c>
      <c r="Z95" s="152">
        <f t="shared" si="16"/>
        <v>0.16186102377285913</v>
      </c>
      <c r="AA95" s="151">
        <f t="shared" si="17"/>
        <v>18391</v>
      </c>
      <c r="AB95" s="152">
        <f t="shared" si="18"/>
        <v>0.21183555159476875</v>
      </c>
      <c r="AC95" s="151">
        <f t="shared" si="19"/>
        <v>54374</v>
      </c>
      <c r="AD95" s="152">
        <f t="shared" si="20"/>
        <v>0.62630342463237221</v>
      </c>
      <c r="AF95" s="146">
        <f>'[1]App 4-Recyclables'!V95+'[1]App 4-Recyclables'!AB95</f>
        <v>14052.344216050671</v>
      </c>
      <c r="AG95" s="146">
        <f>'[1]App 4-Recyclables'!W95+'[1]App 4-Recyclables'!AC95</f>
        <v>12887.344216050671</v>
      </c>
      <c r="AH95" s="146">
        <f>'[1]App 4-Recyclables'!X95+'[1]App 4-Recyclables'!AD95</f>
        <v>1165</v>
      </c>
      <c r="AI95" s="146">
        <f>'[1]App 5-Organics'!V95+'[1]App 5-Organics'!AD95</f>
        <v>19414</v>
      </c>
      <c r="AJ95" s="146">
        <f>'[1]App 5-Organics'!W95+'[1]App 5-Organics'!AE95</f>
        <v>19399</v>
      </c>
      <c r="AK95" s="146">
        <f>'[1]App 5-Organics'!X95+'[1]App 5-Organics'!AF95</f>
        <v>15</v>
      </c>
      <c r="AL95" s="147">
        <f>'[1]App 6-Residual Waste'!AC95+'[1]App 6-Residual Waste'!AI95</f>
        <v>55585</v>
      </c>
      <c r="AM95" s="147">
        <f>'[1]App 6-Residual Waste'!AD95+'[1]App 6-Residual Waste'!AJ95</f>
        <v>21059</v>
      </c>
      <c r="AN95" s="147">
        <f>'[1]App 6-Residual Waste'!AE95+'[1]App 6-Residual Waste'!AK95</f>
        <v>34526</v>
      </c>
      <c r="AO95" s="140"/>
      <c r="AP95" s="147">
        <f t="shared" si="21"/>
        <v>89051.344216050667</v>
      </c>
      <c r="AQ95" s="147">
        <f t="shared" si="21"/>
        <v>53345.344216050667</v>
      </c>
      <c r="AR95" s="147">
        <f t="shared" si="21"/>
        <v>35706</v>
      </c>
      <c r="AS95" s="148">
        <f t="shared" si="22"/>
        <v>0.59904030293610855</v>
      </c>
    </row>
    <row r="96" spans="1:45" ht="15.75" x14ac:dyDescent="0.25">
      <c r="A96" s="8">
        <v>16350</v>
      </c>
      <c r="B96" s="8" t="s">
        <v>64</v>
      </c>
      <c r="C96" s="8" t="s">
        <v>19</v>
      </c>
      <c r="D96" s="29" t="s">
        <v>3</v>
      </c>
      <c r="E96" s="145"/>
      <c r="F96" s="146">
        <f>'App 4 - Recyclables'!V96</f>
        <v>21179.677092589161</v>
      </c>
      <c r="G96" s="146">
        <f>'App 4 - Recyclables'!W96</f>
        <v>19656.237092589159</v>
      </c>
      <c r="H96" s="146">
        <f>'App 4 - Recyclables'!X96</f>
        <v>1523.44</v>
      </c>
      <c r="I96" s="146">
        <f>'App 5 - Organics'!V96</f>
        <v>40240.559999999998</v>
      </c>
      <c r="J96" s="146">
        <f>'App 5 - Organics'!W96</f>
        <v>38996.03</v>
      </c>
      <c r="K96" s="146">
        <f>'App 5 - Organics'!X96</f>
        <v>1244.53</v>
      </c>
      <c r="L96" s="147">
        <f>'App 6 - Residual Waste'!AC96</f>
        <v>44155.69</v>
      </c>
      <c r="M96" s="147">
        <f>'App 6 - Residual Waste'!AD96</f>
        <v>31.91</v>
      </c>
      <c r="N96" s="147">
        <f>'App 6 - Residual Waste'!AE96</f>
        <v>44123.78</v>
      </c>
      <c r="O96" s="140"/>
      <c r="P96" s="147">
        <f t="shared" si="12"/>
        <v>105575.92709258916</v>
      </c>
      <c r="Q96" s="147">
        <f t="shared" si="12"/>
        <v>58684.177092589161</v>
      </c>
      <c r="R96" s="147">
        <f t="shared" si="12"/>
        <v>46891.75</v>
      </c>
      <c r="S96" s="148">
        <f t="shared" si="13"/>
        <v>0.55584808685718334</v>
      </c>
      <c r="U96" s="149">
        <f>(P96*1000)/'App 1 - Services'!F96/52</f>
        <v>9.3873105031491253</v>
      </c>
      <c r="V96" s="149">
        <f>(P96*1000)/'App 1 - Services'!G96/52</f>
        <v>25.002848296763656</v>
      </c>
      <c r="X96" s="150">
        <f t="shared" si="14"/>
        <v>0.55584808685718334</v>
      </c>
      <c r="Y96" s="151">
        <f t="shared" si="15"/>
        <v>21179.677092589161</v>
      </c>
      <c r="Z96" s="152">
        <f t="shared" si="16"/>
        <v>0.20061085586314359</v>
      </c>
      <c r="AA96" s="151">
        <f t="shared" si="17"/>
        <v>40240.559999999998</v>
      </c>
      <c r="AB96" s="152">
        <f t="shared" si="18"/>
        <v>0.38115279787890832</v>
      </c>
      <c r="AC96" s="151">
        <f t="shared" si="19"/>
        <v>44155.69</v>
      </c>
      <c r="AD96" s="152">
        <f t="shared" si="20"/>
        <v>0.41823634625794809</v>
      </c>
      <c r="AF96" s="146">
        <f>'[1]App 4-Recyclables'!V96+'[1]App 4-Recyclables'!AB96</f>
        <v>21179.677092589161</v>
      </c>
      <c r="AG96" s="146">
        <f>'[1]App 4-Recyclables'!W96+'[1]App 4-Recyclables'!AC96</f>
        <v>19656.237092589159</v>
      </c>
      <c r="AH96" s="146">
        <f>'[1]App 4-Recyclables'!X96+'[1]App 4-Recyclables'!AD96</f>
        <v>1523.44</v>
      </c>
      <c r="AI96" s="146">
        <f>'[1]App 5-Organics'!V96+'[1]App 5-Organics'!AD96</f>
        <v>41483.079999999994</v>
      </c>
      <c r="AJ96" s="146">
        <f>'[1]App 5-Organics'!W96+'[1]App 5-Organics'!AE96</f>
        <v>40214.03</v>
      </c>
      <c r="AK96" s="146">
        <f>'[1]App 5-Organics'!X96+'[1]App 5-Organics'!AF96</f>
        <v>1269.3799999999999</v>
      </c>
      <c r="AL96" s="147">
        <f>'[1]App 6-Residual Waste'!AC96+'[1]App 6-Residual Waste'!AI96</f>
        <v>45212.83</v>
      </c>
      <c r="AM96" s="147">
        <f>'[1]App 6-Residual Waste'!AD96+'[1]App 6-Residual Waste'!AJ96</f>
        <v>31.91</v>
      </c>
      <c r="AN96" s="147">
        <f>'[1]App 6-Residual Waste'!AE96+'[1]App 6-Residual Waste'!AK96</f>
        <v>45180.92</v>
      </c>
      <c r="AO96" s="140"/>
      <c r="AP96" s="147">
        <f t="shared" si="21"/>
        <v>107875.58709258915</v>
      </c>
      <c r="AQ96" s="147">
        <f t="shared" si="21"/>
        <v>59902.177092589161</v>
      </c>
      <c r="AR96" s="147">
        <f t="shared" si="21"/>
        <v>47973.74</v>
      </c>
      <c r="AS96" s="148">
        <f t="shared" si="22"/>
        <v>0.55528946545779057</v>
      </c>
    </row>
    <row r="97" spans="1:45" ht="15.75" x14ac:dyDescent="0.25">
      <c r="A97" s="8">
        <v>16380</v>
      </c>
      <c r="B97" s="8" t="s">
        <v>152</v>
      </c>
      <c r="C97" s="8" t="s">
        <v>43</v>
      </c>
      <c r="D97" s="29" t="s">
        <v>4</v>
      </c>
      <c r="E97" s="145"/>
      <c r="F97" s="146">
        <f>'App 4 - Recyclables'!V97</f>
        <v>11679.251005713975</v>
      </c>
      <c r="G97" s="146">
        <f>'App 4 - Recyclables'!W97</f>
        <v>10435.851005713977</v>
      </c>
      <c r="H97" s="146">
        <f>'App 4 - Recyclables'!X97</f>
        <v>1243.4000000000001</v>
      </c>
      <c r="I97" s="146">
        <f>'App 5 - Organics'!V97</f>
        <v>16039.65</v>
      </c>
      <c r="J97" s="146">
        <f>'App 5 - Organics'!W97</f>
        <v>15979.33</v>
      </c>
      <c r="K97" s="146">
        <f>'App 5 - Organics'!X97</f>
        <v>60.32</v>
      </c>
      <c r="L97" s="147">
        <f>'App 6 - Residual Waste'!AC97</f>
        <v>16165.52</v>
      </c>
      <c r="M97" s="147">
        <f>'App 6 - Residual Waste'!AD97</f>
        <v>32.730000000000004</v>
      </c>
      <c r="N97" s="147">
        <f>'App 6 - Residual Waste'!AE97</f>
        <v>16132.789999999999</v>
      </c>
      <c r="O97" s="140"/>
      <c r="P97" s="147">
        <f t="shared" si="12"/>
        <v>43884.421005713972</v>
      </c>
      <c r="Q97" s="147">
        <f t="shared" si="12"/>
        <v>26447.911005713977</v>
      </c>
      <c r="R97" s="147">
        <f t="shared" si="12"/>
        <v>17436.509999999998</v>
      </c>
      <c r="S97" s="148">
        <f t="shared" si="13"/>
        <v>0.6026719824392881</v>
      </c>
      <c r="U97" s="149">
        <f>(P97*1000)/'App 1 - Services'!F97/52</f>
        <v>9.8186333440386147</v>
      </c>
      <c r="V97" s="149">
        <f>(P97*1000)/'App 1 - Services'!G97/52</f>
        <v>22.149843132379917</v>
      </c>
      <c r="X97" s="150">
        <f t="shared" si="14"/>
        <v>0.6026719824392881</v>
      </c>
      <c r="Y97" s="151">
        <f t="shared" si="15"/>
        <v>11679.251005713975</v>
      </c>
      <c r="Z97" s="152">
        <f t="shared" si="16"/>
        <v>0.26613660925806171</v>
      </c>
      <c r="AA97" s="151">
        <f t="shared" si="17"/>
        <v>16039.65</v>
      </c>
      <c r="AB97" s="152">
        <f t="shared" si="18"/>
        <v>0.36549758735364324</v>
      </c>
      <c r="AC97" s="151">
        <f t="shared" si="19"/>
        <v>16165.52</v>
      </c>
      <c r="AD97" s="152">
        <f t="shared" si="20"/>
        <v>0.36836580338829511</v>
      </c>
      <c r="AF97" s="146">
        <f>'[1]App 4-Recyclables'!V97+'[1]App 4-Recyclables'!AB97</f>
        <v>11679.251005713975</v>
      </c>
      <c r="AG97" s="146">
        <f>'[1]App 4-Recyclables'!W97+'[1]App 4-Recyclables'!AC97</f>
        <v>10435.851005713977</v>
      </c>
      <c r="AH97" s="146">
        <f>'[1]App 4-Recyclables'!X97+'[1]App 4-Recyclables'!AD97</f>
        <v>1243.4000000000001</v>
      </c>
      <c r="AI97" s="146">
        <f>'[1]App 5-Organics'!V97+'[1]App 5-Organics'!AD97</f>
        <v>16039.65</v>
      </c>
      <c r="AJ97" s="146">
        <f>'[1]App 5-Organics'!W97+'[1]App 5-Organics'!AE97</f>
        <v>15979.33</v>
      </c>
      <c r="AK97" s="146">
        <f>'[1]App 5-Organics'!X97+'[1]App 5-Organics'!AF97</f>
        <v>60.32</v>
      </c>
      <c r="AL97" s="147">
        <f>'[1]App 6-Residual Waste'!AC97+'[1]App 6-Residual Waste'!AI97</f>
        <v>17050.57</v>
      </c>
      <c r="AM97" s="147">
        <f>'[1]App 6-Residual Waste'!AD97+'[1]App 6-Residual Waste'!AJ97</f>
        <v>32.730000000000004</v>
      </c>
      <c r="AN97" s="147">
        <f>'[1]App 6-Residual Waste'!AE97+'[1]App 6-Residual Waste'!AK97</f>
        <v>17017.84</v>
      </c>
      <c r="AO97" s="140"/>
      <c r="AP97" s="147">
        <f t="shared" si="21"/>
        <v>44769.471005713975</v>
      </c>
      <c r="AQ97" s="147">
        <f t="shared" si="21"/>
        <v>26447.911005713977</v>
      </c>
      <c r="AR97" s="147">
        <f t="shared" si="21"/>
        <v>18321.560000000001</v>
      </c>
      <c r="AS97" s="148">
        <f t="shared" si="22"/>
        <v>0.59075772868387033</v>
      </c>
    </row>
    <row r="98" spans="1:45" ht="15.75" x14ac:dyDescent="0.25">
      <c r="A98" s="8">
        <v>16400</v>
      </c>
      <c r="B98" s="8" t="s">
        <v>65</v>
      </c>
      <c r="C98" s="8" t="s">
        <v>25</v>
      </c>
      <c r="D98" s="29" t="s">
        <v>2</v>
      </c>
      <c r="E98" s="145"/>
      <c r="F98" s="146">
        <f>'App 4 - Recyclables'!V98</f>
        <v>9570.5855101918387</v>
      </c>
      <c r="G98" s="146">
        <f>'App 4 - Recyclables'!W98</f>
        <v>8957.0355101918376</v>
      </c>
      <c r="H98" s="146">
        <f>'App 4 - Recyclables'!X98</f>
        <v>613.54999999999995</v>
      </c>
      <c r="I98" s="146">
        <f>'App 5 - Organics'!V98</f>
        <v>1857.12</v>
      </c>
      <c r="J98" s="146">
        <f>'App 5 - Organics'!W98</f>
        <v>1857.12</v>
      </c>
      <c r="K98" s="146">
        <f>'App 5 - Organics'!X98</f>
        <v>0</v>
      </c>
      <c r="L98" s="147">
        <f>'App 6 - Residual Waste'!AC98</f>
        <v>34729.69</v>
      </c>
      <c r="M98" s="147">
        <f>'App 6 - Residual Waste'!AD98</f>
        <v>10365.639999999998</v>
      </c>
      <c r="N98" s="147">
        <f>'App 6 - Residual Waste'!AE98</f>
        <v>24364.05</v>
      </c>
      <c r="O98" s="140"/>
      <c r="P98" s="147">
        <f t="shared" si="12"/>
        <v>46157.39551019184</v>
      </c>
      <c r="Q98" s="147">
        <f t="shared" si="12"/>
        <v>21179.795510191834</v>
      </c>
      <c r="R98" s="147">
        <f t="shared" si="12"/>
        <v>24977.599999999999</v>
      </c>
      <c r="S98" s="148">
        <f t="shared" si="13"/>
        <v>0.45886028178334293</v>
      </c>
      <c r="U98" s="149">
        <f>(P98*1000)/'App 1 - Services'!F98/52</f>
        <v>11.913701196545825</v>
      </c>
      <c r="V98" s="149">
        <f>(P98*1000)/'App 1 - Services'!G98/52</f>
        <v>24.143018586461491</v>
      </c>
      <c r="X98" s="150">
        <f t="shared" si="14"/>
        <v>0.45886028178334293</v>
      </c>
      <c r="Y98" s="151">
        <f t="shared" si="15"/>
        <v>9570.5855101918387</v>
      </c>
      <c r="Z98" s="152">
        <f t="shared" si="16"/>
        <v>0.20734674052565627</v>
      </c>
      <c r="AA98" s="151">
        <f t="shared" si="17"/>
        <v>1857.12</v>
      </c>
      <c r="AB98" s="152">
        <f t="shared" si="18"/>
        <v>4.0234505857028618E-2</v>
      </c>
      <c r="AC98" s="151">
        <f t="shared" si="19"/>
        <v>34729.69</v>
      </c>
      <c r="AD98" s="152">
        <f t="shared" si="20"/>
        <v>0.75241875361731514</v>
      </c>
      <c r="AF98" s="146">
        <f>'[1]App 4-Recyclables'!V98+'[1]App 4-Recyclables'!AB98</f>
        <v>9570.5855101918387</v>
      </c>
      <c r="AG98" s="146">
        <f>'[1]App 4-Recyclables'!W98+'[1]App 4-Recyclables'!AC98</f>
        <v>8957.0355101918376</v>
      </c>
      <c r="AH98" s="146">
        <f>'[1]App 4-Recyclables'!X98+'[1]App 4-Recyclables'!AD98</f>
        <v>613.54999999999995</v>
      </c>
      <c r="AI98" s="146">
        <f>'[1]App 5-Organics'!V98+'[1]App 5-Organics'!AD98</f>
        <v>1857.12</v>
      </c>
      <c r="AJ98" s="146">
        <f>'[1]App 5-Organics'!W98+'[1]App 5-Organics'!AE98</f>
        <v>1857.12</v>
      </c>
      <c r="AK98" s="146">
        <f>'[1]App 5-Organics'!X98+'[1]App 5-Organics'!AF98</f>
        <v>0</v>
      </c>
      <c r="AL98" s="147">
        <f>'[1]App 6-Residual Waste'!AC98+'[1]App 6-Residual Waste'!AI98</f>
        <v>36165.240000000005</v>
      </c>
      <c r="AM98" s="147">
        <f>'[1]App 6-Residual Waste'!AD98+'[1]App 6-Residual Waste'!AJ98</f>
        <v>10365.639999999998</v>
      </c>
      <c r="AN98" s="147">
        <f>'[1]App 6-Residual Waste'!AE98+'[1]App 6-Residual Waste'!AK98</f>
        <v>25799.599999999999</v>
      </c>
      <c r="AO98" s="140"/>
      <c r="AP98" s="147">
        <f t="shared" si="21"/>
        <v>47592.945510191843</v>
      </c>
      <c r="AQ98" s="147">
        <f t="shared" si="21"/>
        <v>21179.795510191834</v>
      </c>
      <c r="AR98" s="147">
        <f t="shared" si="21"/>
        <v>26413.149999999998</v>
      </c>
      <c r="AS98" s="148">
        <f t="shared" si="22"/>
        <v>0.44501964068721622</v>
      </c>
    </row>
    <row r="99" spans="1:45" ht="15.75" x14ac:dyDescent="0.25">
      <c r="A99" s="8">
        <v>16490</v>
      </c>
      <c r="B99" s="8" t="s">
        <v>153</v>
      </c>
      <c r="C99" s="8" t="s">
        <v>74</v>
      </c>
      <c r="D99" s="29" t="s">
        <v>1</v>
      </c>
      <c r="E99" s="145"/>
      <c r="F99" s="146">
        <f>'App 4 - Recyclables'!V99</f>
        <v>7149.2948184889729</v>
      </c>
      <c r="G99" s="146">
        <f>'App 4 - Recyclables'!W99</f>
        <v>6764.2948184889729</v>
      </c>
      <c r="H99" s="146">
        <f>'App 4 - Recyclables'!X99</f>
        <v>385</v>
      </c>
      <c r="I99" s="146">
        <f>'App 5 - Organics'!V99</f>
        <v>6945.82</v>
      </c>
      <c r="J99" s="146">
        <f>'App 5 - Organics'!W99</f>
        <v>6909.82</v>
      </c>
      <c r="K99" s="146">
        <f>'App 5 - Organics'!X99</f>
        <v>36</v>
      </c>
      <c r="L99" s="147">
        <f>'App 6 - Residual Waste'!AC99</f>
        <v>15699.09</v>
      </c>
      <c r="M99" s="147">
        <f>'App 6 - Residual Waste'!AD99</f>
        <v>105.94</v>
      </c>
      <c r="N99" s="147">
        <f>'App 6 - Residual Waste'!AE99</f>
        <v>15593.150000000001</v>
      </c>
      <c r="O99" s="140"/>
      <c r="P99" s="147">
        <f t="shared" si="12"/>
        <v>29794.204818488972</v>
      </c>
      <c r="Q99" s="147">
        <f t="shared" si="12"/>
        <v>13780.054818488972</v>
      </c>
      <c r="R99" s="147">
        <f t="shared" si="12"/>
        <v>16014.150000000001</v>
      </c>
      <c r="S99" s="148">
        <f t="shared" si="13"/>
        <v>0.46250789045853902</v>
      </c>
      <c r="U99" s="149">
        <f>(P99*1000)/'App 1 - Services'!F99/52</f>
        <v>9.2058914391078588</v>
      </c>
      <c r="V99" s="149">
        <f>(P99*1000)/'App 1 - Services'!G99/52</f>
        <v>25.613119234628257</v>
      </c>
      <c r="X99" s="150">
        <f t="shared" si="14"/>
        <v>0.46250789045853902</v>
      </c>
      <c r="Y99" s="151">
        <f t="shared" si="15"/>
        <v>7149.2948184889729</v>
      </c>
      <c r="Z99" s="152">
        <f t="shared" si="16"/>
        <v>0.23995588612092897</v>
      </c>
      <c r="AA99" s="151">
        <f t="shared" si="17"/>
        <v>6945.82</v>
      </c>
      <c r="AB99" s="152">
        <f t="shared" si="18"/>
        <v>0.23312654398112112</v>
      </c>
      <c r="AC99" s="151">
        <f t="shared" si="19"/>
        <v>15699.09</v>
      </c>
      <c r="AD99" s="152">
        <f t="shared" si="20"/>
        <v>0.52691756989794991</v>
      </c>
      <c r="AF99" s="146">
        <f>'[1]App 4-Recyclables'!V99+'[1]App 4-Recyclables'!AB99</f>
        <v>7149.2948184889729</v>
      </c>
      <c r="AG99" s="146">
        <f>'[1]App 4-Recyclables'!W99+'[1]App 4-Recyclables'!AC99</f>
        <v>6764.2948184889729</v>
      </c>
      <c r="AH99" s="146">
        <f>'[1]App 4-Recyclables'!X99+'[1]App 4-Recyclables'!AD99</f>
        <v>385</v>
      </c>
      <c r="AI99" s="146">
        <f>'[1]App 5-Organics'!V99+'[1]App 5-Organics'!AD99</f>
        <v>6945.82</v>
      </c>
      <c r="AJ99" s="146">
        <f>'[1]App 5-Organics'!W99+'[1]App 5-Organics'!AE99</f>
        <v>6909.82</v>
      </c>
      <c r="AK99" s="146">
        <f>'[1]App 5-Organics'!X99+'[1]App 5-Organics'!AF99</f>
        <v>36</v>
      </c>
      <c r="AL99" s="147">
        <f>'[1]App 6-Residual Waste'!AC99+'[1]App 6-Residual Waste'!AI99</f>
        <v>15699.09</v>
      </c>
      <c r="AM99" s="147">
        <f>'[1]App 6-Residual Waste'!AD99+'[1]App 6-Residual Waste'!AJ99</f>
        <v>105.94</v>
      </c>
      <c r="AN99" s="147">
        <f>'[1]App 6-Residual Waste'!AE99+'[1]App 6-Residual Waste'!AK99</f>
        <v>15593.150000000001</v>
      </c>
      <c r="AO99" s="140"/>
      <c r="AP99" s="147">
        <f t="shared" si="21"/>
        <v>29794.204818488972</v>
      </c>
      <c r="AQ99" s="147">
        <f t="shared" si="21"/>
        <v>13780.054818488972</v>
      </c>
      <c r="AR99" s="147">
        <f t="shared" si="21"/>
        <v>16014.150000000001</v>
      </c>
      <c r="AS99" s="148">
        <f t="shared" si="22"/>
        <v>0.46250789045853902</v>
      </c>
    </row>
    <row r="100" spans="1:45" ht="15.75" x14ac:dyDescent="0.25">
      <c r="A100" s="8">
        <v>16550</v>
      </c>
      <c r="B100" s="8" t="s">
        <v>66</v>
      </c>
      <c r="C100" s="8" t="s">
        <v>18</v>
      </c>
      <c r="D100" s="29" t="s">
        <v>3</v>
      </c>
      <c r="E100" s="145"/>
      <c r="F100" s="146">
        <f>'App 4 - Recyclables'!V100</f>
        <v>12152.07685587635</v>
      </c>
      <c r="G100" s="146">
        <f>'App 4 - Recyclables'!W100</f>
        <v>10657.07685587635</v>
      </c>
      <c r="H100" s="146">
        <f>'App 4 - Recyclables'!X100</f>
        <v>1495</v>
      </c>
      <c r="I100" s="146">
        <f>'App 5 - Organics'!V100</f>
        <v>9403</v>
      </c>
      <c r="J100" s="146">
        <f>'App 5 - Organics'!W100</f>
        <v>9049</v>
      </c>
      <c r="K100" s="146">
        <f>'App 5 - Organics'!X100</f>
        <v>354</v>
      </c>
      <c r="L100" s="147">
        <f>'App 6 - Residual Waste'!AC100</f>
        <v>29808</v>
      </c>
      <c r="M100" s="147">
        <f>'App 6 - Residual Waste'!AD100</f>
        <v>7689</v>
      </c>
      <c r="N100" s="147">
        <f>'App 6 - Residual Waste'!AE100</f>
        <v>22119</v>
      </c>
      <c r="O100" s="140"/>
      <c r="P100" s="147">
        <f t="shared" si="12"/>
        <v>51363.076855876352</v>
      </c>
      <c r="Q100" s="147">
        <f t="shared" si="12"/>
        <v>27395.076855876352</v>
      </c>
      <c r="R100" s="147">
        <f t="shared" si="12"/>
        <v>23968</v>
      </c>
      <c r="S100" s="148">
        <f t="shared" si="13"/>
        <v>0.53336128855259834</v>
      </c>
      <c r="U100" s="149">
        <f>(P100*1000)/'App 1 - Services'!F100/52</f>
        <v>6.3067155198131903</v>
      </c>
      <c r="V100" s="149">
        <f>(P100*1000)/'App 1 - Services'!G100/52</f>
        <v>16.538048387597062</v>
      </c>
      <c r="X100" s="150">
        <f t="shared" si="14"/>
        <v>0.53336128855259834</v>
      </c>
      <c r="Y100" s="151">
        <f t="shared" si="15"/>
        <v>12152.07685587635</v>
      </c>
      <c r="Z100" s="152">
        <f t="shared" si="16"/>
        <v>0.23659168413868209</v>
      </c>
      <c r="AA100" s="151">
        <f t="shared" si="17"/>
        <v>9403</v>
      </c>
      <c r="AB100" s="152">
        <f t="shared" si="18"/>
        <v>0.18306925082359471</v>
      </c>
      <c r="AC100" s="151">
        <f t="shared" si="19"/>
        <v>29808</v>
      </c>
      <c r="AD100" s="152">
        <f t="shared" si="20"/>
        <v>0.58033906503772315</v>
      </c>
      <c r="AF100" s="146">
        <f>'[1]App 4-Recyclables'!V100+'[1]App 4-Recyclables'!AB100</f>
        <v>12152.07685587635</v>
      </c>
      <c r="AG100" s="146">
        <f>'[1]App 4-Recyclables'!W100+'[1]App 4-Recyclables'!AC100</f>
        <v>10657.07685587635</v>
      </c>
      <c r="AH100" s="146">
        <f>'[1]App 4-Recyclables'!X100+'[1]App 4-Recyclables'!AD100</f>
        <v>1495</v>
      </c>
      <c r="AI100" s="146">
        <f>'[1]App 5-Organics'!V100+'[1]App 5-Organics'!AD100</f>
        <v>9403</v>
      </c>
      <c r="AJ100" s="146">
        <f>'[1]App 5-Organics'!W100+'[1]App 5-Organics'!AE100</f>
        <v>9049</v>
      </c>
      <c r="AK100" s="146">
        <f>'[1]App 5-Organics'!X100+'[1]App 5-Organics'!AF100</f>
        <v>354</v>
      </c>
      <c r="AL100" s="147">
        <f>'[1]App 6-Residual Waste'!AC100+'[1]App 6-Residual Waste'!AI100</f>
        <v>30774</v>
      </c>
      <c r="AM100" s="147">
        <f>'[1]App 6-Residual Waste'!AD100+'[1]App 6-Residual Waste'!AJ100</f>
        <v>7980</v>
      </c>
      <c r="AN100" s="147">
        <f>'[1]App 6-Residual Waste'!AE100+'[1]App 6-Residual Waste'!AK100</f>
        <v>22794</v>
      </c>
      <c r="AO100" s="140"/>
      <c r="AP100" s="147">
        <f t="shared" si="21"/>
        <v>52329.076855876352</v>
      </c>
      <c r="AQ100" s="147">
        <f t="shared" si="21"/>
        <v>27686.076855876352</v>
      </c>
      <c r="AR100" s="147">
        <f t="shared" si="21"/>
        <v>24643</v>
      </c>
      <c r="AS100" s="148">
        <f t="shared" si="22"/>
        <v>0.5290763475940683</v>
      </c>
    </row>
    <row r="101" spans="1:45" ht="15.75" x14ac:dyDescent="0.25">
      <c r="A101" s="8">
        <v>16610</v>
      </c>
      <c r="B101" s="8" t="s">
        <v>154</v>
      </c>
      <c r="C101" s="8" t="s">
        <v>20</v>
      </c>
      <c r="D101" s="29" t="s">
        <v>4</v>
      </c>
      <c r="E101" s="145"/>
      <c r="F101" s="146">
        <f>'App 4 - Recyclables'!V101</f>
        <v>3870.8166948680418</v>
      </c>
      <c r="G101" s="146">
        <f>'App 4 - Recyclables'!W101</f>
        <v>3366.8166948680418</v>
      </c>
      <c r="H101" s="146">
        <f>'App 4 - Recyclables'!X101</f>
        <v>504</v>
      </c>
      <c r="I101" s="146">
        <f>'App 5 - Organics'!V101</f>
        <v>3766</v>
      </c>
      <c r="J101" s="146">
        <f>'App 5 - Organics'!W101</f>
        <v>3506</v>
      </c>
      <c r="K101" s="146">
        <f>'App 5 - Organics'!X101</f>
        <v>260</v>
      </c>
      <c r="L101" s="147">
        <f>'App 6 - Residual Waste'!AC101</f>
        <v>5113</v>
      </c>
      <c r="M101" s="147">
        <f>'App 6 - Residual Waste'!AD101</f>
        <v>1</v>
      </c>
      <c r="N101" s="147">
        <f>'App 6 - Residual Waste'!AE101</f>
        <v>5112</v>
      </c>
      <c r="O101" s="140"/>
      <c r="P101" s="147">
        <f t="shared" ref="P101:R132" si="23">F101+I101+L101</f>
        <v>12749.816694868041</v>
      </c>
      <c r="Q101" s="147">
        <f t="shared" si="23"/>
        <v>6873.8166948680418</v>
      </c>
      <c r="R101" s="147">
        <f t="shared" si="23"/>
        <v>5876</v>
      </c>
      <c r="S101" s="148">
        <f t="shared" si="13"/>
        <v>0.53913062904150133</v>
      </c>
      <c r="U101" s="149">
        <f>(P101*1000)/'App 1 - Services'!F101/52</f>
        <v>10.43800692182274</v>
      </c>
      <c r="V101" s="149">
        <f>(P101*1000)/'App 1 - Services'!G101/52</f>
        <v>24.482155026821388</v>
      </c>
      <c r="X101" s="150">
        <f t="shared" si="14"/>
        <v>0.53913062904150133</v>
      </c>
      <c r="Y101" s="151">
        <f t="shared" si="15"/>
        <v>3870.8166948680418</v>
      </c>
      <c r="Z101" s="152">
        <f t="shared" si="16"/>
        <v>0.30359783105164906</v>
      </c>
      <c r="AA101" s="151">
        <f t="shared" si="17"/>
        <v>3766</v>
      </c>
      <c r="AB101" s="152">
        <f t="shared" si="18"/>
        <v>0.29537679561431357</v>
      </c>
      <c r="AC101" s="151">
        <f t="shared" si="19"/>
        <v>5113</v>
      </c>
      <c r="AD101" s="152">
        <f t="shared" si="20"/>
        <v>0.40102537333403748</v>
      </c>
      <c r="AF101" s="146">
        <f>'[1]App 4-Recyclables'!V101+'[1]App 4-Recyclables'!AB101</f>
        <v>3889.8166948680418</v>
      </c>
      <c r="AG101" s="146">
        <f>'[1]App 4-Recyclables'!W101+'[1]App 4-Recyclables'!AC101</f>
        <v>3385.8166948680418</v>
      </c>
      <c r="AH101" s="146">
        <f>'[1]App 4-Recyclables'!X101+'[1]App 4-Recyclables'!AD101</f>
        <v>504</v>
      </c>
      <c r="AI101" s="146">
        <f>'[1]App 5-Organics'!V101+'[1]App 5-Organics'!AD101</f>
        <v>3922</v>
      </c>
      <c r="AJ101" s="146">
        <f>'[1]App 5-Organics'!W101+'[1]App 5-Organics'!AE101</f>
        <v>3662</v>
      </c>
      <c r="AK101" s="146">
        <f>'[1]App 5-Organics'!X101+'[1]App 5-Organics'!AF101</f>
        <v>260</v>
      </c>
      <c r="AL101" s="147">
        <f>'[1]App 6-Residual Waste'!AC101+'[1]App 6-Residual Waste'!AI101</f>
        <v>5162</v>
      </c>
      <c r="AM101" s="147">
        <f>'[1]App 6-Residual Waste'!AD101+'[1]App 6-Residual Waste'!AJ101</f>
        <v>1</v>
      </c>
      <c r="AN101" s="147">
        <f>'[1]App 6-Residual Waste'!AE101+'[1]App 6-Residual Waste'!AK101</f>
        <v>5161</v>
      </c>
      <c r="AO101" s="140"/>
      <c r="AP101" s="147">
        <f t="shared" si="21"/>
        <v>12973.816694868041</v>
      </c>
      <c r="AQ101" s="147">
        <f t="shared" si="21"/>
        <v>7048.8166948680418</v>
      </c>
      <c r="AR101" s="147">
        <f t="shared" si="21"/>
        <v>5925</v>
      </c>
      <c r="AS101" s="148">
        <f t="shared" si="22"/>
        <v>0.54331095163817844</v>
      </c>
    </row>
    <row r="102" spans="1:45" ht="15.75" x14ac:dyDescent="0.25">
      <c r="A102" s="8">
        <v>16700</v>
      </c>
      <c r="B102" s="8" t="s">
        <v>67</v>
      </c>
      <c r="C102" s="8" t="s">
        <v>26</v>
      </c>
      <c r="D102" s="29" t="s">
        <v>3</v>
      </c>
      <c r="E102" s="145"/>
      <c r="F102" s="146">
        <f>'App 4 - Recyclables'!V102</f>
        <v>9450.3722777941184</v>
      </c>
      <c r="G102" s="146">
        <f>'App 4 - Recyclables'!W102</f>
        <v>8696.2722777941181</v>
      </c>
      <c r="H102" s="146">
        <f>'App 4 - Recyclables'!X102</f>
        <v>754.1</v>
      </c>
      <c r="I102" s="146">
        <f>'App 5 - Organics'!V102</f>
        <v>10088.44</v>
      </c>
      <c r="J102" s="146">
        <f>'App 5 - Organics'!W102</f>
        <v>9938.74</v>
      </c>
      <c r="K102" s="146">
        <f>'App 5 - Organics'!X102</f>
        <v>149.69999999999999</v>
      </c>
      <c r="L102" s="147">
        <f>'App 6 - Residual Waste'!AC102</f>
        <v>31185.49</v>
      </c>
      <c r="M102" s="147">
        <f>'App 6 - Residual Waste'!AD102</f>
        <v>5011.880000000001</v>
      </c>
      <c r="N102" s="147">
        <f>'App 6 - Residual Waste'!AE102</f>
        <v>26173.61</v>
      </c>
      <c r="O102" s="140"/>
      <c r="P102" s="147">
        <f t="shared" si="23"/>
        <v>50724.302277794122</v>
      </c>
      <c r="Q102" s="147">
        <f t="shared" si="23"/>
        <v>23646.892277794119</v>
      </c>
      <c r="R102" s="147">
        <f t="shared" si="23"/>
        <v>27077.41</v>
      </c>
      <c r="S102" s="148">
        <f t="shared" si="13"/>
        <v>0.46618467314327472</v>
      </c>
      <c r="U102" s="149">
        <f>(P102*1000)/'App 1 - Services'!F102/52</f>
        <v>7.322009183750982</v>
      </c>
      <c r="V102" s="149">
        <f>(P102*1000)/'App 1 - Services'!G102/52</f>
        <v>18.937804102118868</v>
      </c>
      <c r="X102" s="150">
        <f t="shared" si="14"/>
        <v>0.46618467314327472</v>
      </c>
      <c r="Y102" s="151">
        <f t="shared" si="15"/>
        <v>9450.3722777941184</v>
      </c>
      <c r="Z102" s="152">
        <f t="shared" si="16"/>
        <v>0.18630857110736965</v>
      </c>
      <c r="AA102" s="151">
        <f t="shared" si="17"/>
        <v>10088.44</v>
      </c>
      <c r="AB102" s="152">
        <f t="shared" si="18"/>
        <v>0.19888770366421535</v>
      </c>
      <c r="AC102" s="151">
        <f t="shared" si="19"/>
        <v>31185.49</v>
      </c>
      <c r="AD102" s="152">
        <f t="shared" si="20"/>
        <v>0.61480372522841498</v>
      </c>
      <c r="AF102" s="146">
        <f>'[1]App 4-Recyclables'!V102+'[1]App 4-Recyclables'!AB102</f>
        <v>9450.3722777941184</v>
      </c>
      <c r="AG102" s="146">
        <f>'[1]App 4-Recyclables'!W102+'[1]App 4-Recyclables'!AC102</f>
        <v>8696.2722777941181</v>
      </c>
      <c r="AH102" s="146">
        <f>'[1]App 4-Recyclables'!X102+'[1]App 4-Recyclables'!AD102</f>
        <v>754.1</v>
      </c>
      <c r="AI102" s="146">
        <f>'[1]App 5-Organics'!V102+'[1]App 5-Organics'!AD102</f>
        <v>10172.380000000001</v>
      </c>
      <c r="AJ102" s="146">
        <f>'[1]App 5-Organics'!W102+'[1]App 5-Organics'!AE102</f>
        <v>10021.74</v>
      </c>
      <c r="AK102" s="146">
        <f>'[1]App 5-Organics'!X102+'[1]App 5-Organics'!AF102</f>
        <v>149.69999999999999</v>
      </c>
      <c r="AL102" s="147">
        <f>'[1]App 6-Residual Waste'!AC102+'[1]App 6-Residual Waste'!AI102</f>
        <v>31793.49</v>
      </c>
      <c r="AM102" s="147">
        <f>'[1]App 6-Residual Waste'!AD102+'[1]App 6-Residual Waste'!AJ102</f>
        <v>5011.880000000001</v>
      </c>
      <c r="AN102" s="147">
        <f>'[1]App 6-Residual Waste'!AE102+'[1]App 6-Residual Waste'!AK102</f>
        <v>26781.61</v>
      </c>
      <c r="AO102" s="140"/>
      <c r="AP102" s="147">
        <f t="shared" si="21"/>
        <v>51416.242277794125</v>
      </c>
      <c r="AQ102" s="147">
        <f t="shared" si="21"/>
        <v>23729.892277794119</v>
      </c>
      <c r="AR102" s="147">
        <f t="shared" si="21"/>
        <v>27685.41</v>
      </c>
      <c r="AS102" s="148">
        <f t="shared" si="22"/>
        <v>0.46152521511753281</v>
      </c>
    </row>
    <row r="103" spans="1:45" ht="15.75" x14ac:dyDescent="0.25">
      <c r="A103" s="8">
        <v>16900</v>
      </c>
      <c r="B103" s="8" t="s">
        <v>155</v>
      </c>
      <c r="C103" s="8" t="s">
        <v>41</v>
      </c>
      <c r="D103" s="29" t="s">
        <v>2</v>
      </c>
      <c r="E103" s="145"/>
      <c r="F103" s="146">
        <f>'App 4 - Recyclables'!V103</f>
        <v>8852.2978396992294</v>
      </c>
      <c r="G103" s="146">
        <f>'App 4 - Recyclables'!W103</f>
        <v>8336.2978396992294</v>
      </c>
      <c r="H103" s="146">
        <f>'App 4 - Recyclables'!X103</f>
        <v>516</v>
      </c>
      <c r="I103" s="146">
        <f>'App 5 - Organics'!V103</f>
        <v>14072</v>
      </c>
      <c r="J103" s="146">
        <f>'App 5 - Organics'!W103</f>
        <v>13830</v>
      </c>
      <c r="K103" s="146">
        <f>'App 5 - Organics'!X103</f>
        <v>242</v>
      </c>
      <c r="L103" s="147">
        <f>'App 6 - Residual Waste'!AC103</f>
        <v>19322.78</v>
      </c>
      <c r="M103" s="147">
        <f>'App 6 - Residual Waste'!AD103</f>
        <v>167.14</v>
      </c>
      <c r="N103" s="147">
        <f>'App 6 - Residual Waste'!AE103</f>
        <v>19155.64</v>
      </c>
      <c r="O103" s="140"/>
      <c r="P103" s="147">
        <f t="shared" si="23"/>
        <v>42247.077839699225</v>
      </c>
      <c r="Q103" s="147">
        <f t="shared" si="23"/>
        <v>22333.437839699229</v>
      </c>
      <c r="R103" s="147">
        <f t="shared" si="23"/>
        <v>19913.64</v>
      </c>
      <c r="S103" s="148">
        <f t="shared" si="13"/>
        <v>0.52863864157517382</v>
      </c>
      <c r="U103" s="149">
        <f>(P103*1000)/'App 1 - Services'!F103/52</f>
        <v>10.887456843954872</v>
      </c>
      <c r="V103" s="149">
        <f>(P103*1000)/'App 1 - Services'!G103/52</f>
        <v>27.277860751060988</v>
      </c>
      <c r="X103" s="150">
        <f t="shared" si="14"/>
        <v>0.52863864157517382</v>
      </c>
      <c r="Y103" s="151">
        <f t="shared" si="15"/>
        <v>8852.2978396992294</v>
      </c>
      <c r="Z103" s="152">
        <f t="shared" si="16"/>
        <v>0.20953633463805629</v>
      </c>
      <c r="AA103" s="151">
        <f t="shared" si="17"/>
        <v>14072</v>
      </c>
      <c r="AB103" s="152">
        <f t="shared" si="18"/>
        <v>0.33308812631714518</v>
      </c>
      <c r="AC103" s="151">
        <f t="shared" si="19"/>
        <v>19322.78</v>
      </c>
      <c r="AD103" s="152">
        <f t="shared" si="20"/>
        <v>0.45737553904479861</v>
      </c>
      <c r="AF103" s="146">
        <f>'[1]App 4-Recyclables'!V103+'[1]App 4-Recyclables'!AB103</f>
        <v>8852.2978396992294</v>
      </c>
      <c r="AG103" s="146">
        <f>'[1]App 4-Recyclables'!W103+'[1]App 4-Recyclables'!AC103</f>
        <v>8336.2978396992294</v>
      </c>
      <c r="AH103" s="146">
        <f>'[1]App 4-Recyclables'!X103+'[1]App 4-Recyclables'!AD103</f>
        <v>516</v>
      </c>
      <c r="AI103" s="146">
        <f>'[1]App 5-Organics'!V103+'[1]App 5-Organics'!AD103</f>
        <v>14072</v>
      </c>
      <c r="AJ103" s="146">
        <f>'[1]App 5-Organics'!W103+'[1]App 5-Organics'!AE103</f>
        <v>13830</v>
      </c>
      <c r="AK103" s="146">
        <f>'[1]App 5-Organics'!X103+'[1]App 5-Organics'!AF103</f>
        <v>242</v>
      </c>
      <c r="AL103" s="147">
        <f>'[1]App 6-Residual Waste'!AC103+'[1]App 6-Residual Waste'!AI103</f>
        <v>20412.55</v>
      </c>
      <c r="AM103" s="147">
        <f>'[1]App 6-Residual Waste'!AD103+'[1]App 6-Residual Waste'!AJ103</f>
        <v>167.14</v>
      </c>
      <c r="AN103" s="147">
        <f>'[1]App 6-Residual Waste'!AE103+'[1]App 6-Residual Waste'!AK103</f>
        <v>20245.41</v>
      </c>
      <c r="AO103" s="140"/>
      <c r="AP103" s="147">
        <f t="shared" si="21"/>
        <v>43336.847839699229</v>
      </c>
      <c r="AQ103" s="147">
        <f t="shared" si="21"/>
        <v>22333.437839699229</v>
      </c>
      <c r="AR103" s="147">
        <f t="shared" si="21"/>
        <v>21003.41</v>
      </c>
      <c r="AS103" s="148">
        <f t="shared" si="22"/>
        <v>0.51534523051398351</v>
      </c>
    </row>
    <row r="104" spans="1:45" ht="15.75" x14ac:dyDescent="0.25">
      <c r="A104" s="8">
        <v>16950</v>
      </c>
      <c r="B104" s="8" t="s">
        <v>156</v>
      </c>
      <c r="C104" s="8" t="s">
        <v>41</v>
      </c>
      <c r="D104" s="29" t="s">
        <v>2</v>
      </c>
      <c r="E104" s="145"/>
      <c r="F104" s="146">
        <f>'App 4 - Recyclables'!V104</f>
        <v>24510.128015196249</v>
      </c>
      <c r="G104" s="146">
        <f>'App 4 - Recyclables'!W104</f>
        <v>22036.128015196249</v>
      </c>
      <c r="H104" s="146">
        <f>'App 4 - Recyclables'!X104</f>
        <v>2474</v>
      </c>
      <c r="I104" s="146">
        <f>'App 5 - Organics'!V104</f>
        <v>14899.9</v>
      </c>
      <c r="J104" s="146">
        <f>'App 5 - Organics'!W104</f>
        <v>14899.9</v>
      </c>
      <c r="K104" s="146">
        <f>'App 5 - Organics'!X104</f>
        <v>0</v>
      </c>
      <c r="L104" s="147">
        <f>'App 6 - Residual Waste'!AC104</f>
        <v>46241.1</v>
      </c>
      <c r="M104" s="147">
        <f>'App 6 - Residual Waste'!AD104</f>
        <v>4153.2000000000007</v>
      </c>
      <c r="N104" s="147">
        <f>'App 6 - Residual Waste'!AE104</f>
        <v>42087.9</v>
      </c>
      <c r="O104" s="140"/>
      <c r="P104" s="147">
        <f t="shared" si="23"/>
        <v>85651.128015196242</v>
      </c>
      <c r="Q104" s="147">
        <f t="shared" si="23"/>
        <v>41089.228015196248</v>
      </c>
      <c r="R104" s="147">
        <f t="shared" si="23"/>
        <v>44561.9</v>
      </c>
      <c r="S104" s="148">
        <f t="shared" si="13"/>
        <v>0.47972780939798232</v>
      </c>
      <c r="U104" s="149">
        <f>(P104*1000)/'App 1 - Services'!F104/52</f>
        <v>15.36637476294943</v>
      </c>
      <c r="V104" s="149">
        <f>(P104*1000)/'App 1 - Services'!G104/52</f>
        <v>28.702268409488429</v>
      </c>
      <c r="X104" s="150">
        <f t="shared" si="14"/>
        <v>0.47972780939798232</v>
      </c>
      <c r="Y104" s="151">
        <f t="shared" si="15"/>
        <v>24510.128015196249</v>
      </c>
      <c r="Z104" s="152">
        <f t="shared" si="16"/>
        <v>0.28616234932536622</v>
      </c>
      <c r="AA104" s="151">
        <f t="shared" si="17"/>
        <v>14899.9</v>
      </c>
      <c r="AB104" s="152">
        <f t="shared" si="18"/>
        <v>0.17396034757833495</v>
      </c>
      <c r="AC104" s="151">
        <f t="shared" si="19"/>
        <v>46241.1</v>
      </c>
      <c r="AD104" s="152">
        <f t="shared" si="20"/>
        <v>0.53987730309629889</v>
      </c>
      <c r="AF104" s="146">
        <f>'[1]App 4-Recyclables'!V104+'[1]App 4-Recyclables'!AB104</f>
        <v>24510.128015196249</v>
      </c>
      <c r="AG104" s="146">
        <f>'[1]App 4-Recyclables'!W104+'[1]App 4-Recyclables'!AC104</f>
        <v>22036.128015196249</v>
      </c>
      <c r="AH104" s="146">
        <f>'[1]App 4-Recyclables'!X104+'[1]App 4-Recyclables'!AD104</f>
        <v>2474</v>
      </c>
      <c r="AI104" s="146">
        <f>'[1]App 5-Organics'!V104+'[1]App 5-Organics'!AD104</f>
        <v>14899.9</v>
      </c>
      <c r="AJ104" s="146">
        <f>'[1]App 5-Organics'!W104+'[1]App 5-Organics'!AE104</f>
        <v>14899.9</v>
      </c>
      <c r="AK104" s="146">
        <f>'[1]App 5-Organics'!X104+'[1]App 5-Organics'!AF104</f>
        <v>0</v>
      </c>
      <c r="AL104" s="147">
        <f>'[1]App 6-Residual Waste'!AC104+'[1]App 6-Residual Waste'!AI104</f>
        <v>47460.7</v>
      </c>
      <c r="AM104" s="147">
        <f>'[1]App 6-Residual Waste'!AD104+'[1]App 6-Residual Waste'!AJ104</f>
        <v>4153.2000000000007</v>
      </c>
      <c r="AN104" s="147">
        <f>'[1]App 6-Residual Waste'!AE104+'[1]App 6-Residual Waste'!AK104</f>
        <v>43307.5</v>
      </c>
      <c r="AO104" s="140"/>
      <c r="AP104" s="147">
        <f t="shared" si="21"/>
        <v>86870.728015196248</v>
      </c>
      <c r="AQ104" s="147">
        <f t="shared" si="21"/>
        <v>41089.228015196248</v>
      </c>
      <c r="AR104" s="147">
        <f t="shared" si="21"/>
        <v>45781.5</v>
      </c>
      <c r="AS104" s="148">
        <f t="shared" si="22"/>
        <v>0.47299279002253247</v>
      </c>
    </row>
    <row r="105" spans="1:45" ht="15.75" x14ac:dyDescent="0.25">
      <c r="A105" s="8">
        <v>17000</v>
      </c>
      <c r="B105" s="8" t="s">
        <v>157</v>
      </c>
      <c r="C105" s="8" t="s">
        <v>25</v>
      </c>
      <c r="D105" s="29" t="s">
        <v>4</v>
      </c>
      <c r="E105" s="145"/>
      <c r="F105" s="146">
        <f>'App 4 - Recyclables'!V105</f>
        <v>2980.9210361616551</v>
      </c>
      <c r="G105" s="146">
        <f>'App 4 - Recyclables'!W105</f>
        <v>2881.1010361616554</v>
      </c>
      <c r="H105" s="146">
        <f>'App 4 - Recyclables'!X105</f>
        <v>99.82</v>
      </c>
      <c r="I105" s="146">
        <f>'App 5 - Organics'!V105</f>
        <v>2556.19</v>
      </c>
      <c r="J105" s="146">
        <f>'App 5 - Organics'!W105</f>
        <v>2530.52</v>
      </c>
      <c r="K105" s="146">
        <f>'App 5 - Organics'!X105</f>
        <v>25.67</v>
      </c>
      <c r="L105" s="147">
        <f>'App 6 - Residual Waste'!AC105</f>
        <v>8381.2199999999993</v>
      </c>
      <c r="M105" s="147">
        <f>'App 6 - Residual Waste'!AD105</f>
        <v>137.62</v>
      </c>
      <c r="N105" s="147">
        <f>'App 6 - Residual Waste'!AE105</f>
        <v>8243.6</v>
      </c>
      <c r="O105" s="140"/>
      <c r="P105" s="147">
        <f t="shared" si="23"/>
        <v>13918.331036161655</v>
      </c>
      <c r="Q105" s="147">
        <f t="shared" si="23"/>
        <v>5549.2410361616558</v>
      </c>
      <c r="R105" s="147">
        <f t="shared" si="23"/>
        <v>8369.09</v>
      </c>
      <c r="S105" s="148">
        <f t="shared" si="13"/>
        <v>0.39870017617370918</v>
      </c>
      <c r="U105" s="149">
        <f>(P105*1000)/'App 1 - Services'!F105/52</f>
        <v>11.448255441996492</v>
      </c>
      <c r="V105" s="149">
        <f>(P105*1000)/'App 1 - Services'!G105/52</f>
        <v>23.911042722340362</v>
      </c>
      <c r="X105" s="150">
        <f t="shared" si="14"/>
        <v>0.39870017617370918</v>
      </c>
      <c r="Y105" s="151">
        <f t="shared" si="15"/>
        <v>2980.9210361616551</v>
      </c>
      <c r="Z105" s="152">
        <f t="shared" si="16"/>
        <v>0.21417230474090823</v>
      </c>
      <c r="AA105" s="151">
        <f t="shared" si="17"/>
        <v>2556.19</v>
      </c>
      <c r="AB105" s="152">
        <f t="shared" si="18"/>
        <v>0.18365635889523552</v>
      </c>
      <c r="AC105" s="151">
        <f t="shared" si="19"/>
        <v>8381.2199999999993</v>
      </c>
      <c r="AD105" s="152">
        <f t="shared" si="20"/>
        <v>0.60217133636385622</v>
      </c>
      <c r="AF105" s="146">
        <f>'[1]App 4-Recyclables'!V105+'[1]App 4-Recyclables'!AB105</f>
        <v>2980.9210361616551</v>
      </c>
      <c r="AG105" s="146">
        <f>'[1]App 4-Recyclables'!W105+'[1]App 4-Recyclables'!AC105</f>
        <v>2881.1010361616554</v>
      </c>
      <c r="AH105" s="146">
        <f>'[1]App 4-Recyclables'!X105+'[1]App 4-Recyclables'!AD105</f>
        <v>99.82</v>
      </c>
      <c r="AI105" s="146">
        <f>'[1]App 5-Organics'!V105+'[1]App 5-Organics'!AD105</f>
        <v>2556.19</v>
      </c>
      <c r="AJ105" s="146">
        <f>'[1]App 5-Organics'!W105+'[1]App 5-Organics'!AE105</f>
        <v>2530.52</v>
      </c>
      <c r="AK105" s="146">
        <f>'[1]App 5-Organics'!X105+'[1]App 5-Organics'!AF105</f>
        <v>25.67</v>
      </c>
      <c r="AL105" s="147">
        <f>'[1]App 6-Residual Waste'!AC105+'[1]App 6-Residual Waste'!AI105</f>
        <v>8381.2199999999993</v>
      </c>
      <c r="AM105" s="147">
        <f>'[1]App 6-Residual Waste'!AD105+'[1]App 6-Residual Waste'!AJ105</f>
        <v>137.62</v>
      </c>
      <c r="AN105" s="147">
        <f>'[1]App 6-Residual Waste'!AE105+'[1]App 6-Residual Waste'!AK105</f>
        <v>8243.6</v>
      </c>
      <c r="AO105" s="140"/>
      <c r="AP105" s="147">
        <f t="shared" si="21"/>
        <v>13918.331036161655</v>
      </c>
      <c r="AQ105" s="147">
        <f t="shared" si="21"/>
        <v>5549.2410361616558</v>
      </c>
      <c r="AR105" s="147">
        <f t="shared" si="21"/>
        <v>8369.09</v>
      </c>
      <c r="AS105" s="148">
        <f t="shared" si="22"/>
        <v>0.39870017617370918</v>
      </c>
    </row>
    <row r="106" spans="1:45" ht="15.75" x14ac:dyDescent="0.25">
      <c r="A106" s="8">
        <v>17040</v>
      </c>
      <c r="B106" s="8" t="s">
        <v>158</v>
      </c>
      <c r="C106" s="8" t="s">
        <v>74</v>
      </c>
      <c r="D106" s="29" t="s">
        <v>1</v>
      </c>
      <c r="E106" s="145"/>
      <c r="F106" s="146">
        <f>'App 4 - Recyclables'!V106</f>
        <v>3121.6253039774642</v>
      </c>
      <c r="G106" s="146">
        <f>'App 4 - Recyclables'!W106</f>
        <v>3065.1053039774642</v>
      </c>
      <c r="H106" s="146">
        <f>'App 4 - Recyclables'!X106</f>
        <v>56.52</v>
      </c>
      <c r="I106" s="146">
        <f>'App 5 - Organics'!V106</f>
        <v>1069.6399999999999</v>
      </c>
      <c r="J106" s="146">
        <f>'App 5 - Organics'!W106</f>
        <v>1069.6399999999999</v>
      </c>
      <c r="K106" s="146">
        <f>'App 5 - Organics'!X106</f>
        <v>0</v>
      </c>
      <c r="L106" s="147">
        <f>'App 6 - Residual Waste'!AC106</f>
        <v>5744.4500000000007</v>
      </c>
      <c r="M106" s="147">
        <f>'App 6 - Residual Waste'!AD106</f>
        <v>157.77000000000001</v>
      </c>
      <c r="N106" s="147">
        <f>'App 6 - Residual Waste'!AE106</f>
        <v>5586.68</v>
      </c>
      <c r="O106" s="140"/>
      <c r="P106" s="147">
        <f t="shared" si="23"/>
        <v>9935.7153039774639</v>
      </c>
      <c r="Q106" s="147">
        <f t="shared" si="23"/>
        <v>4292.515303977465</v>
      </c>
      <c r="R106" s="147">
        <f t="shared" si="23"/>
        <v>5643.2000000000007</v>
      </c>
      <c r="S106" s="148">
        <f t="shared" si="13"/>
        <v>0.43202881449905134</v>
      </c>
      <c r="U106" s="149">
        <f>(P106*1000)/'App 1 - Services'!F106/52</f>
        <v>9.0999403797405698</v>
      </c>
      <c r="V106" s="149">
        <f>(P106*1000)/'App 1 - Services'!G106/52</f>
        <v>18.186888268933252</v>
      </c>
      <c r="X106" s="150">
        <f t="shared" si="14"/>
        <v>0.43202881449905134</v>
      </c>
      <c r="Y106" s="151">
        <f t="shared" si="15"/>
        <v>3121.6253039774642</v>
      </c>
      <c r="Z106" s="152">
        <f t="shared" si="16"/>
        <v>0.31418224138606465</v>
      </c>
      <c r="AA106" s="151">
        <f t="shared" si="17"/>
        <v>1069.6399999999999</v>
      </c>
      <c r="AB106" s="152">
        <f t="shared" si="18"/>
        <v>0.10765606373320719</v>
      </c>
      <c r="AC106" s="151">
        <f t="shared" si="19"/>
        <v>5744.4500000000007</v>
      </c>
      <c r="AD106" s="152">
        <f t="shared" si="20"/>
        <v>0.57816169488072822</v>
      </c>
      <c r="AF106" s="146">
        <f>'[1]App 4-Recyclables'!V106+'[1]App 4-Recyclables'!AB106</f>
        <v>3121.6253039774642</v>
      </c>
      <c r="AG106" s="146">
        <f>'[1]App 4-Recyclables'!W106+'[1]App 4-Recyclables'!AC106</f>
        <v>3065.1053039774642</v>
      </c>
      <c r="AH106" s="146">
        <f>'[1]App 4-Recyclables'!X106+'[1]App 4-Recyclables'!AD106</f>
        <v>56.52</v>
      </c>
      <c r="AI106" s="146">
        <f>'[1]App 5-Organics'!V106+'[1]App 5-Organics'!AD106</f>
        <v>1069.6399999999999</v>
      </c>
      <c r="AJ106" s="146">
        <f>'[1]App 5-Organics'!W106+'[1]App 5-Organics'!AE106</f>
        <v>1069.6399999999999</v>
      </c>
      <c r="AK106" s="146">
        <f>'[1]App 5-Organics'!X106+'[1]App 5-Organics'!AF106</f>
        <v>0</v>
      </c>
      <c r="AL106" s="147">
        <f>'[1]App 6-Residual Waste'!AC106+'[1]App 6-Residual Waste'!AI106</f>
        <v>5744.4500000000007</v>
      </c>
      <c r="AM106" s="147">
        <f>'[1]App 6-Residual Waste'!AD106+'[1]App 6-Residual Waste'!AJ106</f>
        <v>157.77000000000001</v>
      </c>
      <c r="AN106" s="147">
        <f>'[1]App 6-Residual Waste'!AE106+'[1]App 6-Residual Waste'!AK106</f>
        <v>5586.68</v>
      </c>
      <c r="AO106" s="140"/>
      <c r="AP106" s="147">
        <f t="shared" si="21"/>
        <v>9935.7153039774639</v>
      </c>
      <c r="AQ106" s="147">
        <f t="shared" si="21"/>
        <v>4292.515303977465</v>
      </c>
      <c r="AR106" s="147">
        <f t="shared" si="21"/>
        <v>5643.2000000000007</v>
      </c>
      <c r="AS106" s="148">
        <f t="shared" si="22"/>
        <v>0.43202881449905134</v>
      </c>
    </row>
    <row r="107" spans="1:45" ht="15.75" x14ac:dyDescent="0.25">
      <c r="A107" s="8">
        <v>17080</v>
      </c>
      <c r="B107" s="8" t="s">
        <v>159</v>
      </c>
      <c r="C107" s="8" t="s">
        <v>74</v>
      </c>
      <c r="D107" s="29" t="s">
        <v>1</v>
      </c>
      <c r="E107" s="145"/>
      <c r="F107" s="146">
        <f>'App 4 - Recyclables'!V107</f>
        <v>6972.1651256118948</v>
      </c>
      <c r="G107" s="146">
        <f>'App 4 - Recyclables'!W107</f>
        <v>5255.1651256118948</v>
      </c>
      <c r="H107" s="146">
        <f>'App 4 - Recyclables'!X107</f>
        <v>1717</v>
      </c>
      <c r="I107" s="146">
        <f>'App 5 - Organics'!V107</f>
        <v>150</v>
      </c>
      <c r="J107" s="146">
        <f>'App 5 - Organics'!W107</f>
        <v>150</v>
      </c>
      <c r="K107" s="146">
        <f>'App 5 - Organics'!X107</f>
        <v>0</v>
      </c>
      <c r="L107" s="147">
        <f>'App 6 - Residual Waste'!AC107</f>
        <v>5973</v>
      </c>
      <c r="M107" s="147">
        <f>'App 6 - Residual Waste'!AD107</f>
        <v>0</v>
      </c>
      <c r="N107" s="147">
        <f>'App 6 - Residual Waste'!AE107</f>
        <v>5973</v>
      </c>
      <c r="O107" s="140"/>
      <c r="P107" s="147">
        <f t="shared" si="23"/>
        <v>13095.165125611895</v>
      </c>
      <c r="Q107" s="147">
        <f t="shared" si="23"/>
        <v>5405.1651256118948</v>
      </c>
      <c r="R107" s="147">
        <f t="shared" si="23"/>
        <v>7690</v>
      </c>
      <c r="S107" s="148">
        <f t="shared" si="13"/>
        <v>0.41276036413166872</v>
      </c>
      <c r="U107" s="149">
        <f>(P107*1000)/'App 1 - Services'!F107/52</f>
        <v>17.473639922943349</v>
      </c>
      <c r="V107" s="149">
        <f>(P107*1000)/'App 1 - Services'!G107/52</f>
        <v>38.565099321509884</v>
      </c>
      <c r="X107" s="150">
        <f t="shared" si="14"/>
        <v>0.41276036413166872</v>
      </c>
      <c r="Y107" s="151">
        <f t="shared" si="15"/>
        <v>6972.1651256118948</v>
      </c>
      <c r="Z107" s="152">
        <f t="shared" si="16"/>
        <v>0.5324228490998969</v>
      </c>
      <c r="AA107" s="151">
        <f t="shared" si="17"/>
        <v>150</v>
      </c>
      <c r="AB107" s="152">
        <f t="shared" si="18"/>
        <v>1.1454609282217126E-2</v>
      </c>
      <c r="AC107" s="151">
        <f t="shared" si="19"/>
        <v>5973</v>
      </c>
      <c r="AD107" s="152">
        <f t="shared" si="20"/>
        <v>0.45612254161788596</v>
      </c>
      <c r="AF107" s="146">
        <f>'[1]App 4-Recyclables'!V107+'[1]App 4-Recyclables'!AB107</f>
        <v>6972.1651256118948</v>
      </c>
      <c r="AG107" s="146">
        <f>'[1]App 4-Recyclables'!W107+'[1]App 4-Recyclables'!AC107</f>
        <v>5255.1651256118948</v>
      </c>
      <c r="AH107" s="146">
        <f>'[1]App 4-Recyclables'!X107+'[1]App 4-Recyclables'!AD107</f>
        <v>1717</v>
      </c>
      <c r="AI107" s="146">
        <f>'[1]App 5-Organics'!V107+'[1]App 5-Organics'!AD107</f>
        <v>350</v>
      </c>
      <c r="AJ107" s="146">
        <f>'[1]App 5-Organics'!W107+'[1]App 5-Organics'!AE107</f>
        <v>350</v>
      </c>
      <c r="AK107" s="146">
        <f>'[1]App 5-Organics'!X107+'[1]App 5-Organics'!AF107</f>
        <v>0</v>
      </c>
      <c r="AL107" s="147">
        <f>'[1]App 6-Residual Waste'!AC107+'[1]App 6-Residual Waste'!AI107</f>
        <v>6073</v>
      </c>
      <c r="AM107" s="147">
        <f>'[1]App 6-Residual Waste'!AD107+'[1]App 6-Residual Waste'!AJ107</f>
        <v>0</v>
      </c>
      <c r="AN107" s="147">
        <f>'[1]App 6-Residual Waste'!AE107+'[1]App 6-Residual Waste'!AK107</f>
        <v>6073</v>
      </c>
      <c r="AO107" s="140"/>
      <c r="AP107" s="147">
        <f t="shared" si="21"/>
        <v>13395.165125611895</v>
      </c>
      <c r="AQ107" s="147">
        <f t="shared" si="21"/>
        <v>5605.1651256118948</v>
      </c>
      <c r="AR107" s="147">
        <f t="shared" si="21"/>
        <v>7790</v>
      </c>
      <c r="AS107" s="148">
        <f t="shared" si="22"/>
        <v>0.41844688535378166</v>
      </c>
    </row>
    <row r="108" spans="1:45" ht="15.75" x14ac:dyDescent="0.25">
      <c r="A108" s="8">
        <v>17100</v>
      </c>
      <c r="B108" s="8" t="s">
        <v>160</v>
      </c>
      <c r="C108" s="8"/>
      <c r="D108" s="29" t="s">
        <v>3</v>
      </c>
      <c r="E108" s="145"/>
      <c r="F108" s="146">
        <f>'App 4 - Recyclables'!V108</f>
        <v>2849.107121754595</v>
      </c>
      <c r="G108" s="146">
        <f>'App 4 - Recyclables'!W108</f>
        <v>2655.107121754595</v>
      </c>
      <c r="H108" s="146">
        <f>'App 4 - Recyclables'!X108</f>
        <v>194</v>
      </c>
      <c r="I108" s="146">
        <f>'App 5 - Organics'!V108</f>
        <v>2451.2600000000002</v>
      </c>
      <c r="J108" s="146">
        <f>'App 5 - Organics'!W108</f>
        <v>2451.2600000000002</v>
      </c>
      <c r="K108" s="146">
        <f>'App 5 - Organics'!X108</f>
        <v>0</v>
      </c>
      <c r="L108" s="147">
        <f>'App 6 - Residual Waste'!AC108</f>
        <v>11621.31</v>
      </c>
      <c r="M108" s="147">
        <f>'App 6 - Residual Waste'!AD108</f>
        <v>263.81</v>
      </c>
      <c r="N108" s="147">
        <f>'App 6 - Residual Waste'!AE108</f>
        <v>11357.5</v>
      </c>
      <c r="O108" s="140"/>
      <c r="P108" s="147">
        <f t="shared" si="23"/>
        <v>16921.677121754594</v>
      </c>
      <c r="Q108" s="147">
        <f t="shared" si="23"/>
        <v>5370.1771217545956</v>
      </c>
      <c r="R108" s="147">
        <f t="shared" si="23"/>
        <v>11551.5</v>
      </c>
      <c r="S108" s="148">
        <f t="shared" si="13"/>
        <v>0.31735489828314173</v>
      </c>
      <c r="U108" s="149">
        <f>(P108*1000)/'App 1 - Services'!F108/52</f>
        <v>6.8125875128446394</v>
      </c>
      <c r="V108" s="149">
        <f>(P108*1000)/'App 1 - Services'!G108/52</f>
        <v>19.903172337984703</v>
      </c>
      <c r="X108" s="150">
        <f t="shared" si="14"/>
        <v>0.31735489828314173</v>
      </c>
      <c r="Y108" s="151">
        <f t="shared" si="15"/>
        <v>2849.107121754595</v>
      </c>
      <c r="Z108" s="152">
        <f t="shared" si="16"/>
        <v>0.1683702567573381</v>
      </c>
      <c r="AA108" s="151">
        <f t="shared" si="17"/>
        <v>2451.2600000000002</v>
      </c>
      <c r="AB108" s="152">
        <f t="shared" si="18"/>
        <v>0.14485916392108958</v>
      </c>
      <c r="AC108" s="151">
        <f t="shared" si="19"/>
        <v>11621.31</v>
      </c>
      <c r="AD108" s="152">
        <f t="shared" si="20"/>
        <v>0.68677057932157237</v>
      </c>
      <c r="AF108" s="146">
        <f>'[1]App 4-Recyclables'!V108+'[1]App 4-Recyclables'!AB108</f>
        <v>2849.107121754595</v>
      </c>
      <c r="AG108" s="146">
        <f>'[1]App 4-Recyclables'!W108+'[1]App 4-Recyclables'!AC108</f>
        <v>2655.107121754595</v>
      </c>
      <c r="AH108" s="146">
        <f>'[1]App 4-Recyclables'!X108+'[1]App 4-Recyclables'!AD108</f>
        <v>194</v>
      </c>
      <c r="AI108" s="146">
        <f>'[1]App 5-Organics'!V108+'[1]App 5-Organics'!AD108</f>
        <v>2930.4900000000002</v>
      </c>
      <c r="AJ108" s="146">
        <f>'[1]App 5-Organics'!W108+'[1]App 5-Organics'!AE108</f>
        <v>2930.26</v>
      </c>
      <c r="AK108" s="146">
        <f>'[1]App 5-Organics'!X108+'[1]App 5-Organics'!AF108</f>
        <v>0</v>
      </c>
      <c r="AL108" s="147">
        <f>'[1]App 6-Residual Waste'!AC108+'[1]App 6-Residual Waste'!AI108</f>
        <v>11621.31</v>
      </c>
      <c r="AM108" s="147">
        <f>'[1]App 6-Residual Waste'!AD108+'[1]App 6-Residual Waste'!AJ108</f>
        <v>263.81</v>
      </c>
      <c r="AN108" s="147">
        <f>'[1]App 6-Residual Waste'!AE108+'[1]App 6-Residual Waste'!AK108</f>
        <v>11357.5</v>
      </c>
      <c r="AO108" s="140"/>
      <c r="AP108" s="147">
        <f t="shared" si="21"/>
        <v>17400.907121754593</v>
      </c>
      <c r="AQ108" s="147">
        <f t="shared" si="21"/>
        <v>5849.1771217545956</v>
      </c>
      <c r="AR108" s="147">
        <f t="shared" si="21"/>
        <v>11551.5</v>
      </c>
      <c r="AS108" s="148">
        <f t="shared" si="22"/>
        <v>0.33614208045751598</v>
      </c>
    </row>
    <row r="109" spans="1:45" ht="15.75" x14ac:dyDescent="0.25">
      <c r="A109" s="8">
        <v>17150</v>
      </c>
      <c r="B109" s="8" t="s">
        <v>161</v>
      </c>
      <c r="C109" s="8" t="s">
        <v>18</v>
      </c>
      <c r="D109" s="29" t="s">
        <v>3</v>
      </c>
      <c r="E109" s="145"/>
      <c r="F109" s="146">
        <f>'App 4 - Recyclables'!V109</f>
        <v>23915.63716361871</v>
      </c>
      <c r="G109" s="146">
        <f>'App 4 - Recyclables'!W109</f>
        <v>21832.677163618711</v>
      </c>
      <c r="H109" s="146">
        <f>'App 4 - Recyclables'!X109</f>
        <v>2082.96</v>
      </c>
      <c r="I109" s="146">
        <f>'App 5 - Organics'!V109</f>
        <v>30978</v>
      </c>
      <c r="J109" s="146">
        <f>'App 5 - Organics'!W109</f>
        <v>30978</v>
      </c>
      <c r="K109" s="146">
        <f>'App 5 - Organics'!X109</f>
        <v>0</v>
      </c>
      <c r="L109" s="147">
        <f>'App 6 - Residual Waste'!AC109</f>
        <v>71440</v>
      </c>
      <c r="M109" s="147">
        <f>'App 6 - Residual Waste'!AD109</f>
        <v>9698</v>
      </c>
      <c r="N109" s="147">
        <f>'App 6 - Residual Waste'!AE109</f>
        <v>61742</v>
      </c>
      <c r="O109" s="140"/>
      <c r="P109" s="147">
        <f t="shared" si="23"/>
        <v>126333.63716361871</v>
      </c>
      <c r="Q109" s="147">
        <f t="shared" si="23"/>
        <v>62508.677163618711</v>
      </c>
      <c r="R109" s="147">
        <f t="shared" si="23"/>
        <v>63824.959999999999</v>
      </c>
      <c r="S109" s="148">
        <f t="shared" si="13"/>
        <v>0.49479044985194037</v>
      </c>
      <c r="U109" s="149">
        <f>(P109*1000)/'App 1 - Services'!F109/52</f>
        <v>10.455323310670886</v>
      </c>
      <c r="V109" s="149">
        <f>(P109*1000)/'App 1 - Services'!G109/52</f>
        <v>27.643057327249259</v>
      </c>
      <c r="X109" s="150">
        <f t="shared" si="14"/>
        <v>0.49479044985194037</v>
      </c>
      <c r="Y109" s="151">
        <f t="shared" si="15"/>
        <v>23915.63716361871</v>
      </c>
      <c r="Z109" s="152">
        <f t="shared" si="16"/>
        <v>0.18930537979085338</v>
      </c>
      <c r="AA109" s="151">
        <f t="shared" si="17"/>
        <v>30978</v>
      </c>
      <c r="AB109" s="152">
        <f t="shared" si="18"/>
        <v>0.24520785354956104</v>
      </c>
      <c r="AC109" s="151">
        <f t="shared" si="19"/>
        <v>71440</v>
      </c>
      <c r="AD109" s="152">
        <f t="shared" si="20"/>
        <v>0.56548676665958553</v>
      </c>
      <c r="AF109" s="146">
        <f>'[1]App 4-Recyclables'!V109+'[1]App 4-Recyclables'!AB109</f>
        <v>23915.63716361871</v>
      </c>
      <c r="AG109" s="146">
        <f>'[1]App 4-Recyclables'!W109+'[1]App 4-Recyclables'!AC109</f>
        <v>21832.677163618711</v>
      </c>
      <c r="AH109" s="146">
        <f>'[1]App 4-Recyclables'!X109+'[1]App 4-Recyclables'!AD109</f>
        <v>2082.96</v>
      </c>
      <c r="AI109" s="146">
        <f>'[1]App 5-Organics'!V109+'[1]App 5-Organics'!AD109</f>
        <v>30978</v>
      </c>
      <c r="AJ109" s="146">
        <f>'[1]App 5-Organics'!W109+'[1]App 5-Organics'!AE109</f>
        <v>30978</v>
      </c>
      <c r="AK109" s="146">
        <f>'[1]App 5-Organics'!X109+'[1]App 5-Organics'!AF109</f>
        <v>0</v>
      </c>
      <c r="AL109" s="147">
        <f>'[1]App 6-Residual Waste'!AC109+'[1]App 6-Residual Waste'!AI109</f>
        <v>71440</v>
      </c>
      <c r="AM109" s="147">
        <f>'[1]App 6-Residual Waste'!AD109+'[1]App 6-Residual Waste'!AJ109</f>
        <v>9698</v>
      </c>
      <c r="AN109" s="147">
        <f>'[1]App 6-Residual Waste'!AE109+'[1]App 6-Residual Waste'!AK109</f>
        <v>61742</v>
      </c>
      <c r="AO109" s="140"/>
      <c r="AP109" s="147">
        <f t="shared" si="21"/>
        <v>126333.63716361871</v>
      </c>
      <c r="AQ109" s="147">
        <f t="shared" si="21"/>
        <v>62508.677163618711</v>
      </c>
      <c r="AR109" s="147">
        <f t="shared" si="21"/>
        <v>63824.959999999999</v>
      </c>
      <c r="AS109" s="148">
        <f t="shared" si="22"/>
        <v>0.49479044985194037</v>
      </c>
    </row>
    <row r="110" spans="1:45" ht="15.75" x14ac:dyDescent="0.25">
      <c r="A110" s="8">
        <v>17200</v>
      </c>
      <c r="B110" s="8" t="s">
        <v>68</v>
      </c>
      <c r="C110" s="8" t="s">
        <v>18</v>
      </c>
      <c r="D110" s="29" t="s">
        <v>3</v>
      </c>
      <c r="E110" s="145"/>
      <c r="F110" s="146">
        <f>'App 4 - Recyclables'!V110</f>
        <v>17567.665388343805</v>
      </c>
      <c r="G110" s="146">
        <f>'App 4 - Recyclables'!W110</f>
        <v>16135.135388343804</v>
      </c>
      <c r="H110" s="146">
        <f>'App 4 - Recyclables'!X110</f>
        <v>1432.53</v>
      </c>
      <c r="I110" s="146">
        <f>'App 5 - Organics'!V110</f>
        <v>1680</v>
      </c>
      <c r="J110" s="146">
        <f>'App 5 - Organics'!W110</f>
        <v>1598</v>
      </c>
      <c r="K110" s="146">
        <f>'App 5 - Organics'!X110</f>
        <v>82</v>
      </c>
      <c r="L110" s="147">
        <f>'App 6 - Residual Waste'!AC110</f>
        <v>49238.91</v>
      </c>
      <c r="M110" s="147">
        <f>'App 6 - Residual Waste'!AD110</f>
        <v>13999.91</v>
      </c>
      <c r="N110" s="147">
        <f>'App 6 - Residual Waste'!AE110</f>
        <v>35239</v>
      </c>
      <c r="O110" s="140"/>
      <c r="P110" s="147">
        <f t="shared" si="23"/>
        <v>68486.575388343801</v>
      </c>
      <c r="Q110" s="147">
        <f t="shared" si="23"/>
        <v>31733.045388343806</v>
      </c>
      <c r="R110" s="147">
        <f t="shared" si="23"/>
        <v>36753.53</v>
      </c>
      <c r="S110" s="148">
        <f t="shared" si="13"/>
        <v>0.46334694366605267</v>
      </c>
      <c r="U110" s="149">
        <f>(P110*1000)/'App 1 - Services'!F110/52</f>
        <v>5.2949694724483756</v>
      </c>
      <c r="V110" s="149">
        <f>(P110*1000)/'App 1 - Services'!G110/52</f>
        <v>10.056653609789935</v>
      </c>
      <c r="X110" s="150">
        <f t="shared" si="14"/>
        <v>0.46334694366605267</v>
      </c>
      <c r="Y110" s="151">
        <f t="shared" si="15"/>
        <v>17567.665388343805</v>
      </c>
      <c r="Z110" s="152">
        <f t="shared" si="16"/>
        <v>0.25651253970181381</v>
      </c>
      <c r="AA110" s="151">
        <f t="shared" si="17"/>
        <v>1680</v>
      </c>
      <c r="AB110" s="152">
        <f t="shared" si="18"/>
        <v>2.4530354897639262E-2</v>
      </c>
      <c r="AC110" s="151">
        <f t="shared" si="19"/>
        <v>49238.91</v>
      </c>
      <c r="AD110" s="152">
        <f t="shared" si="20"/>
        <v>0.71895710540054703</v>
      </c>
      <c r="AF110" s="146">
        <f>'[1]App 4-Recyclables'!V110+'[1]App 4-Recyclables'!AB110</f>
        <v>17567.665388343805</v>
      </c>
      <c r="AG110" s="146">
        <f>'[1]App 4-Recyclables'!W110+'[1]App 4-Recyclables'!AC110</f>
        <v>16135.135388343804</v>
      </c>
      <c r="AH110" s="146">
        <f>'[1]App 4-Recyclables'!X110+'[1]App 4-Recyclables'!AD110</f>
        <v>1432.53</v>
      </c>
      <c r="AI110" s="146">
        <f>'[1]App 5-Organics'!V110+'[1]App 5-Organics'!AD110</f>
        <v>6231</v>
      </c>
      <c r="AJ110" s="146">
        <f>'[1]App 5-Organics'!W110+'[1]App 5-Organics'!AE110</f>
        <v>5491</v>
      </c>
      <c r="AK110" s="146">
        <f>'[1]App 5-Organics'!X110+'[1]App 5-Organics'!AF110</f>
        <v>740</v>
      </c>
      <c r="AL110" s="147">
        <f>'[1]App 6-Residual Waste'!AC110+'[1]App 6-Residual Waste'!AI110</f>
        <v>54574.91</v>
      </c>
      <c r="AM110" s="147">
        <f>'[1]App 6-Residual Waste'!AD110+'[1]App 6-Residual Waste'!AJ110</f>
        <v>15590.91</v>
      </c>
      <c r="AN110" s="147">
        <f>'[1]App 6-Residual Waste'!AE110+'[1]App 6-Residual Waste'!AK110</f>
        <v>38984</v>
      </c>
      <c r="AO110" s="140"/>
      <c r="AP110" s="147">
        <f t="shared" si="21"/>
        <v>78373.575388343801</v>
      </c>
      <c r="AQ110" s="147">
        <f t="shared" si="21"/>
        <v>37217.045388343802</v>
      </c>
      <c r="AR110" s="147">
        <f t="shared" si="21"/>
        <v>41156.53</v>
      </c>
      <c r="AS110" s="148">
        <f t="shared" si="22"/>
        <v>0.47486726494143011</v>
      </c>
    </row>
    <row r="111" spans="1:45" ht="15.75" x14ac:dyDescent="0.25">
      <c r="A111" s="8">
        <v>17310</v>
      </c>
      <c r="B111" s="8" t="s">
        <v>162</v>
      </c>
      <c r="C111" s="8" t="s">
        <v>17</v>
      </c>
      <c r="D111" s="29" t="s">
        <v>1</v>
      </c>
      <c r="E111" s="145"/>
      <c r="F111" s="146">
        <f>'App 4 - Recyclables'!V111</f>
        <v>9063.9764008769453</v>
      </c>
      <c r="G111" s="146">
        <f>'App 4 - Recyclables'!W111</f>
        <v>8667.2764008769445</v>
      </c>
      <c r="H111" s="146">
        <f>'App 4 - Recyclables'!X111</f>
        <v>396.7</v>
      </c>
      <c r="I111" s="146">
        <f>'App 5 - Organics'!V111</f>
        <v>11915.3</v>
      </c>
      <c r="J111" s="146">
        <f>'App 5 - Organics'!W111</f>
        <v>11887.279999999999</v>
      </c>
      <c r="K111" s="146">
        <f>'App 5 - Organics'!X111</f>
        <v>28.02</v>
      </c>
      <c r="L111" s="147">
        <f>'App 6 - Residual Waste'!AC111</f>
        <v>22867.83</v>
      </c>
      <c r="M111" s="147">
        <f>'App 6 - Residual Waste'!AD111</f>
        <v>1792.51</v>
      </c>
      <c r="N111" s="147">
        <f>'App 6 - Residual Waste'!AE111</f>
        <v>21075.32</v>
      </c>
      <c r="O111" s="140"/>
      <c r="P111" s="147">
        <f t="shared" si="23"/>
        <v>43847.106400876946</v>
      </c>
      <c r="Q111" s="147">
        <f t="shared" si="23"/>
        <v>22347.066400876942</v>
      </c>
      <c r="R111" s="147">
        <f t="shared" si="23"/>
        <v>21500.04</v>
      </c>
      <c r="S111" s="148">
        <f t="shared" si="13"/>
        <v>0.50965886315430831</v>
      </c>
      <c r="U111" s="149">
        <f>(P111*1000)/'App 1 - Services'!F111/52</f>
        <v>13.481710522539755</v>
      </c>
      <c r="V111" s="149">
        <f>(P111*1000)/'App 1 - Services'!G111/52</f>
        <v>30.026835148217682</v>
      </c>
      <c r="X111" s="150">
        <f t="shared" si="14"/>
        <v>0.50965886315430831</v>
      </c>
      <c r="Y111" s="151">
        <f t="shared" si="15"/>
        <v>9063.9764008769453</v>
      </c>
      <c r="Z111" s="152">
        <f t="shared" si="16"/>
        <v>0.20671777786220494</v>
      </c>
      <c r="AA111" s="151">
        <f t="shared" si="17"/>
        <v>11915.3</v>
      </c>
      <c r="AB111" s="152">
        <f t="shared" si="18"/>
        <v>0.27174655246490093</v>
      </c>
      <c r="AC111" s="151">
        <f t="shared" si="19"/>
        <v>22867.83</v>
      </c>
      <c r="AD111" s="152">
        <f t="shared" si="20"/>
        <v>0.52153566967289411</v>
      </c>
      <c r="AF111" s="146">
        <f>'[1]App 4-Recyclables'!V111+'[1]App 4-Recyclables'!AB111</f>
        <v>9063.9764008769453</v>
      </c>
      <c r="AG111" s="146">
        <f>'[1]App 4-Recyclables'!W111+'[1]App 4-Recyclables'!AC111</f>
        <v>8667.2764008769445</v>
      </c>
      <c r="AH111" s="146">
        <f>'[1]App 4-Recyclables'!X111+'[1]App 4-Recyclables'!AD111</f>
        <v>396.7</v>
      </c>
      <c r="AI111" s="146">
        <f>'[1]App 5-Organics'!V111+'[1]App 5-Organics'!AD111</f>
        <v>11915.3</v>
      </c>
      <c r="AJ111" s="146">
        <f>'[1]App 5-Organics'!W111+'[1]App 5-Organics'!AE111</f>
        <v>11887.279999999999</v>
      </c>
      <c r="AK111" s="146">
        <f>'[1]App 5-Organics'!X111+'[1]App 5-Organics'!AF111</f>
        <v>28.02</v>
      </c>
      <c r="AL111" s="147">
        <f>'[1]App 6-Residual Waste'!AC111+'[1]App 6-Residual Waste'!AI111</f>
        <v>22946.410000000003</v>
      </c>
      <c r="AM111" s="147">
        <f>'[1]App 6-Residual Waste'!AD111+'[1]App 6-Residual Waste'!AJ111</f>
        <v>1792.51</v>
      </c>
      <c r="AN111" s="147">
        <f>'[1]App 6-Residual Waste'!AE111+'[1]App 6-Residual Waste'!AK111</f>
        <v>21153.9</v>
      </c>
      <c r="AO111" s="140"/>
      <c r="AP111" s="147">
        <f t="shared" si="21"/>
        <v>43925.686400876948</v>
      </c>
      <c r="AQ111" s="147">
        <f t="shared" si="21"/>
        <v>22347.066400876942</v>
      </c>
      <c r="AR111" s="147">
        <f t="shared" si="21"/>
        <v>21578.620000000003</v>
      </c>
      <c r="AS111" s="148">
        <f t="shared" si="22"/>
        <v>0.50874711887099378</v>
      </c>
    </row>
    <row r="112" spans="1:45" ht="15.75" x14ac:dyDescent="0.25">
      <c r="A112" s="8">
        <v>17350</v>
      </c>
      <c r="B112" s="8" t="s">
        <v>163</v>
      </c>
      <c r="C112" s="8" t="s">
        <v>22</v>
      </c>
      <c r="D112" s="29" t="s">
        <v>1</v>
      </c>
      <c r="E112" s="145"/>
      <c r="F112" s="146">
        <f>'App 4 - Recyclables'!V112</f>
        <v>670.20192934761315</v>
      </c>
      <c r="G112" s="146">
        <f>'App 4 - Recyclables'!W112</f>
        <v>604.20192934761315</v>
      </c>
      <c r="H112" s="146">
        <f>'App 4 - Recyclables'!X112</f>
        <v>66</v>
      </c>
      <c r="I112" s="146">
        <f>'App 5 - Organics'!V112</f>
        <v>463</v>
      </c>
      <c r="J112" s="146">
        <f>'App 5 - Organics'!W112</f>
        <v>463</v>
      </c>
      <c r="K112" s="146">
        <f>'App 5 - Organics'!X112</f>
        <v>0</v>
      </c>
      <c r="L112" s="147">
        <f>'App 6 - Residual Waste'!AC112</f>
        <v>2257</v>
      </c>
      <c r="M112" s="147">
        <f>'App 6 - Residual Waste'!AD112</f>
        <v>0</v>
      </c>
      <c r="N112" s="147">
        <f>'App 6 - Residual Waste'!AE112</f>
        <v>2257</v>
      </c>
      <c r="O112" s="140"/>
      <c r="P112" s="147">
        <f t="shared" si="23"/>
        <v>3390.2019293476133</v>
      </c>
      <c r="Q112" s="147">
        <f t="shared" si="23"/>
        <v>1067.2019293476133</v>
      </c>
      <c r="R112" s="147">
        <f t="shared" si="23"/>
        <v>2323</v>
      </c>
      <c r="S112" s="148">
        <f t="shared" si="13"/>
        <v>0.31479007787390945</v>
      </c>
      <c r="U112" s="149">
        <f>(P112*1000)/'App 1 - Services'!F112/52</f>
        <v>10.391487240834008</v>
      </c>
      <c r="V112" s="149">
        <f>(P112*1000)/'App 1 - Services'!G112/52</f>
        <v>17.035848170627794</v>
      </c>
      <c r="X112" s="150">
        <f t="shared" si="14"/>
        <v>0.31479007787390945</v>
      </c>
      <c r="Y112" s="151">
        <f t="shared" si="15"/>
        <v>670.20192934761315</v>
      </c>
      <c r="Z112" s="152">
        <f t="shared" si="16"/>
        <v>0.19768790865993699</v>
      </c>
      <c r="AA112" s="151">
        <f t="shared" si="17"/>
        <v>463</v>
      </c>
      <c r="AB112" s="152">
        <f t="shared" si="18"/>
        <v>0.13657003613619453</v>
      </c>
      <c r="AC112" s="151">
        <f t="shared" si="19"/>
        <v>2257</v>
      </c>
      <c r="AD112" s="152">
        <f t="shared" si="20"/>
        <v>0.66574205520386842</v>
      </c>
      <c r="AF112" s="146">
        <f>'[1]App 4-Recyclables'!V112+'[1]App 4-Recyclables'!AB112</f>
        <v>670.20192934761315</v>
      </c>
      <c r="AG112" s="146">
        <f>'[1]App 4-Recyclables'!W112+'[1]App 4-Recyclables'!AC112</f>
        <v>604.20192934761315</v>
      </c>
      <c r="AH112" s="146">
        <f>'[1]App 4-Recyclables'!X112+'[1]App 4-Recyclables'!AD112</f>
        <v>66</v>
      </c>
      <c r="AI112" s="146">
        <f>'[1]App 5-Organics'!V112+'[1]App 5-Organics'!AD112</f>
        <v>463</v>
      </c>
      <c r="AJ112" s="146">
        <f>'[1]App 5-Organics'!W112+'[1]App 5-Organics'!AE112</f>
        <v>463</v>
      </c>
      <c r="AK112" s="146">
        <f>'[1]App 5-Organics'!X112+'[1]App 5-Organics'!AF112</f>
        <v>0</v>
      </c>
      <c r="AL112" s="147">
        <f>'[1]App 6-Residual Waste'!AC112+'[1]App 6-Residual Waste'!AI112</f>
        <v>2257</v>
      </c>
      <c r="AM112" s="147">
        <f>'[1]App 6-Residual Waste'!AD112+'[1]App 6-Residual Waste'!AJ112</f>
        <v>0</v>
      </c>
      <c r="AN112" s="147">
        <f>'[1]App 6-Residual Waste'!AE112+'[1]App 6-Residual Waste'!AK112</f>
        <v>2257</v>
      </c>
      <c r="AO112" s="140"/>
      <c r="AP112" s="147">
        <f t="shared" si="21"/>
        <v>3390.2019293476133</v>
      </c>
      <c r="AQ112" s="147">
        <f t="shared" si="21"/>
        <v>1067.2019293476133</v>
      </c>
      <c r="AR112" s="147">
        <f t="shared" si="21"/>
        <v>2323</v>
      </c>
      <c r="AS112" s="148">
        <f t="shared" si="22"/>
        <v>0.31479007787390945</v>
      </c>
    </row>
    <row r="113" spans="1:45" ht="15.75" x14ac:dyDescent="0.25">
      <c r="A113" s="8">
        <v>17400</v>
      </c>
      <c r="B113" s="8" t="s">
        <v>164</v>
      </c>
      <c r="C113" s="8" t="s">
        <v>17</v>
      </c>
      <c r="D113" s="29" t="s">
        <v>1</v>
      </c>
      <c r="E113" s="145"/>
      <c r="F113" s="146">
        <f>'App 4 - Recyclables'!V113</f>
        <v>1110.4842632194996</v>
      </c>
      <c r="G113" s="146">
        <f>'App 4 - Recyclables'!W113</f>
        <v>1094.7642632194995</v>
      </c>
      <c r="H113" s="146">
        <f>'App 4 - Recyclables'!X113</f>
        <v>15.72</v>
      </c>
      <c r="I113" s="146">
        <f>'App 5 - Organics'!V113</f>
        <v>180</v>
      </c>
      <c r="J113" s="146">
        <f>'App 5 - Organics'!W113</f>
        <v>180</v>
      </c>
      <c r="K113" s="146">
        <f>'App 5 - Organics'!X113</f>
        <v>0</v>
      </c>
      <c r="L113" s="147">
        <f>'App 6 - Residual Waste'!AC113</f>
        <v>2570.7200000000003</v>
      </c>
      <c r="M113" s="147">
        <f>'App 6 - Residual Waste'!AD113</f>
        <v>2.02</v>
      </c>
      <c r="N113" s="147">
        <f>'App 6 - Residual Waste'!AE113</f>
        <v>2568.6999999999998</v>
      </c>
      <c r="O113" s="140"/>
      <c r="P113" s="147">
        <f t="shared" si="23"/>
        <v>3861.2042632194998</v>
      </c>
      <c r="Q113" s="147">
        <f t="shared" si="23"/>
        <v>1276.7842632194995</v>
      </c>
      <c r="R113" s="147">
        <f t="shared" si="23"/>
        <v>2584.4199999999996</v>
      </c>
      <c r="S113" s="148">
        <f t="shared" si="13"/>
        <v>0.33066996102270635</v>
      </c>
      <c r="U113" s="149">
        <f>(P113*1000)/'App 1 - Services'!F113/52</f>
        <v>11.476650407857269</v>
      </c>
      <c r="V113" s="149">
        <f>(P113*1000)/'App 1 - Services'!G113/52</f>
        <v>15.052488980100655</v>
      </c>
      <c r="X113" s="150">
        <f t="shared" si="14"/>
        <v>0.33066996102270635</v>
      </c>
      <c r="Y113" s="151">
        <f t="shared" si="15"/>
        <v>1110.4842632194996</v>
      </c>
      <c r="Z113" s="152">
        <f t="shared" si="16"/>
        <v>0.28760049650768016</v>
      </c>
      <c r="AA113" s="151">
        <f t="shared" si="17"/>
        <v>180</v>
      </c>
      <c r="AB113" s="152">
        <f t="shared" si="18"/>
        <v>4.6617580353004867E-2</v>
      </c>
      <c r="AC113" s="151">
        <f t="shared" si="19"/>
        <v>2570.7200000000003</v>
      </c>
      <c r="AD113" s="152">
        <f t="shared" si="20"/>
        <v>0.66578192313931495</v>
      </c>
      <c r="AF113" s="146">
        <f>'[1]App 4-Recyclables'!V113+'[1]App 4-Recyclables'!AB113</f>
        <v>1110.4842632194996</v>
      </c>
      <c r="AG113" s="146">
        <f>'[1]App 4-Recyclables'!W113+'[1]App 4-Recyclables'!AC113</f>
        <v>1094.7642632194995</v>
      </c>
      <c r="AH113" s="146">
        <f>'[1]App 4-Recyclables'!X113+'[1]App 4-Recyclables'!AD113</f>
        <v>15.72</v>
      </c>
      <c r="AI113" s="146">
        <f>'[1]App 5-Organics'!V113+'[1]App 5-Organics'!AD113</f>
        <v>195</v>
      </c>
      <c r="AJ113" s="146">
        <f>'[1]App 5-Organics'!W113+'[1]App 5-Organics'!AE113</f>
        <v>180</v>
      </c>
      <c r="AK113" s="146">
        <f>'[1]App 5-Organics'!X113+'[1]App 5-Organics'!AF113</f>
        <v>15</v>
      </c>
      <c r="AL113" s="147">
        <f>'[1]App 6-Residual Waste'!AC113+'[1]App 6-Residual Waste'!AI113</f>
        <v>2640.7200000000003</v>
      </c>
      <c r="AM113" s="147">
        <f>'[1]App 6-Residual Waste'!AD113+'[1]App 6-Residual Waste'!AJ113</f>
        <v>2.02</v>
      </c>
      <c r="AN113" s="147">
        <f>'[1]App 6-Residual Waste'!AE113+'[1]App 6-Residual Waste'!AK113</f>
        <v>2638.7</v>
      </c>
      <c r="AO113" s="140"/>
      <c r="AP113" s="147">
        <f t="shared" si="21"/>
        <v>3946.2042632194998</v>
      </c>
      <c r="AQ113" s="147">
        <f t="shared" si="21"/>
        <v>1276.7842632194995</v>
      </c>
      <c r="AR113" s="147">
        <f t="shared" si="21"/>
        <v>2669.4199999999996</v>
      </c>
      <c r="AS113" s="148">
        <f t="shared" si="22"/>
        <v>0.32354743395311186</v>
      </c>
    </row>
    <row r="114" spans="1:45" ht="15.75" x14ac:dyDescent="0.25">
      <c r="A114" s="8">
        <v>17420</v>
      </c>
      <c r="B114" s="8" t="s">
        <v>165</v>
      </c>
      <c r="C114" s="8" t="s">
        <v>19</v>
      </c>
      <c r="D114" s="29" t="s">
        <v>3</v>
      </c>
      <c r="E114" s="145"/>
      <c r="F114" s="146">
        <f>'App 4 - Recyclables'!V114</f>
        <v>15215.861197344722</v>
      </c>
      <c r="G114" s="146">
        <f>'App 4 - Recyclables'!W114</f>
        <v>14214.211197344723</v>
      </c>
      <c r="H114" s="146">
        <f>'App 4 - Recyclables'!X114</f>
        <v>1001.65</v>
      </c>
      <c r="I114" s="146">
        <f>'App 5 - Organics'!V114</f>
        <v>21561.03</v>
      </c>
      <c r="J114" s="146">
        <f>'App 5 - Organics'!W114</f>
        <v>21229.899999999998</v>
      </c>
      <c r="K114" s="146">
        <f>'App 5 - Organics'!X114</f>
        <v>331.13</v>
      </c>
      <c r="L114" s="147">
        <f>'App 6 - Residual Waste'!AC114</f>
        <v>46521.579999999994</v>
      </c>
      <c r="M114" s="147">
        <f>'App 6 - Residual Waste'!AD114</f>
        <v>4847.5800000000008</v>
      </c>
      <c r="N114" s="147">
        <f>'App 6 - Residual Waste'!AE114</f>
        <v>41674</v>
      </c>
      <c r="O114" s="140"/>
      <c r="P114" s="147">
        <f t="shared" si="23"/>
        <v>83298.471197344712</v>
      </c>
      <c r="Q114" s="147">
        <f t="shared" si="23"/>
        <v>40291.69119734472</v>
      </c>
      <c r="R114" s="147">
        <f t="shared" si="23"/>
        <v>43006.78</v>
      </c>
      <c r="S114" s="148">
        <f t="shared" si="13"/>
        <v>0.48370264925857476</v>
      </c>
      <c r="U114" s="149">
        <f>(P114*1000)/'App 1 - Services'!F114/52</f>
        <v>8.7158439579305487</v>
      </c>
      <c r="V114" s="149">
        <f>(P114*1000)/'App 1 - Services'!G114/52</f>
        <v>23.549987163846659</v>
      </c>
      <c r="X114" s="150">
        <f t="shared" si="14"/>
        <v>0.48370264925857476</v>
      </c>
      <c r="Y114" s="151">
        <f t="shared" si="15"/>
        <v>15215.861197344722</v>
      </c>
      <c r="Z114" s="152">
        <f t="shared" si="16"/>
        <v>0.18266675220600873</v>
      </c>
      <c r="AA114" s="151">
        <f t="shared" si="17"/>
        <v>21561.03</v>
      </c>
      <c r="AB114" s="152">
        <f t="shared" si="18"/>
        <v>0.25884064485312303</v>
      </c>
      <c r="AC114" s="151">
        <f t="shared" si="19"/>
        <v>46521.579999999994</v>
      </c>
      <c r="AD114" s="152">
        <f t="shared" si="20"/>
        <v>0.55849260294086833</v>
      </c>
      <c r="AF114" s="146">
        <f>'[1]App 4-Recyclables'!V114+'[1]App 4-Recyclables'!AB114</f>
        <v>15215.861197344722</v>
      </c>
      <c r="AG114" s="146">
        <f>'[1]App 4-Recyclables'!W114+'[1]App 4-Recyclables'!AC114</f>
        <v>14214.211197344723</v>
      </c>
      <c r="AH114" s="146">
        <f>'[1]App 4-Recyclables'!X114+'[1]App 4-Recyclables'!AD114</f>
        <v>1001.65</v>
      </c>
      <c r="AI114" s="146">
        <f>'[1]App 5-Organics'!V114+'[1]App 5-Organics'!AD114</f>
        <v>21561.03</v>
      </c>
      <c r="AJ114" s="146">
        <f>'[1]App 5-Organics'!W114+'[1]App 5-Organics'!AE114</f>
        <v>21229.899999999998</v>
      </c>
      <c r="AK114" s="146">
        <f>'[1]App 5-Organics'!X114+'[1]App 5-Organics'!AF114</f>
        <v>331.13</v>
      </c>
      <c r="AL114" s="147">
        <f>'[1]App 6-Residual Waste'!AC114+'[1]App 6-Residual Waste'!AI114</f>
        <v>46521.579999999994</v>
      </c>
      <c r="AM114" s="147">
        <f>'[1]App 6-Residual Waste'!AD114+'[1]App 6-Residual Waste'!AJ114</f>
        <v>4847.5800000000008</v>
      </c>
      <c r="AN114" s="147">
        <f>'[1]App 6-Residual Waste'!AE114+'[1]App 6-Residual Waste'!AK114</f>
        <v>41674</v>
      </c>
      <c r="AO114" s="140"/>
      <c r="AP114" s="147">
        <f t="shared" si="21"/>
        <v>83298.471197344712</v>
      </c>
      <c r="AQ114" s="147">
        <f t="shared" si="21"/>
        <v>40291.69119734472</v>
      </c>
      <c r="AR114" s="147">
        <f t="shared" si="21"/>
        <v>43006.78</v>
      </c>
      <c r="AS114" s="148">
        <f t="shared" si="22"/>
        <v>0.48370264925857476</v>
      </c>
    </row>
    <row r="115" spans="1:45" ht="15.75" x14ac:dyDescent="0.25">
      <c r="A115" s="8">
        <v>17550</v>
      </c>
      <c r="B115" s="8" t="s">
        <v>166</v>
      </c>
      <c r="C115" s="8" t="s">
        <v>20</v>
      </c>
      <c r="D115" s="29" t="s">
        <v>4</v>
      </c>
      <c r="E115" s="145"/>
      <c r="F115" s="146">
        <f>'App 4 - Recyclables'!V115</f>
        <v>12171.448427359217</v>
      </c>
      <c r="G115" s="146">
        <f>'App 4 - Recyclables'!W115</f>
        <v>11249.448427359217</v>
      </c>
      <c r="H115" s="146">
        <f>'App 4 - Recyclables'!X115</f>
        <v>922</v>
      </c>
      <c r="I115" s="146">
        <f>'App 5 - Organics'!V115</f>
        <v>14530.42</v>
      </c>
      <c r="J115" s="146">
        <f>'App 5 - Organics'!W115</f>
        <v>14273.42</v>
      </c>
      <c r="K115" s="146">
        <f>'App 5 - Organics'!X115</f>
        <v>257</v>
      </c>
      <c r="L115" s="147">
        <f>'App 6 - Residual Waste'!AC115</f>
        <v>22859.02</v>
      </c>
      <c r="M115" s="147">
        <f>'App 6 - Residual Waste'!AD115</f>
        <v>51.730000000000004</v>
      </c>
      <c r="N115" s="147">
        <f>'App 6 - Residual Waste'!AE115</f>
        <v>22807.29</v>
      </c>
      <c r="O115" s="140"/>
      <c r="P115" s="147">
        <f t="shared" si="23"/>
        <v>49560.888427359212</v>
      </c>
      <c r="Q115" s="147">
        <f t="shared" si="23"/>
        <v>25574.598427359215</v>
      </c>
      <c r="R115" s="147">
        <f t="shared" si="23"/>
        <v>23986.29</v>
      </c>
      <c r="S115" s="148">
        <f t="shared" si="13"/>
        <v>0.51602380907363254</v>
      </c>
      <c r="U115" s="149">
        <f>(P115*1000)/'App 1 - Services'!F115/52</f>
        <v>9.6876868555065592</v>
      </c>
      <c r="V115" s="149">
        <f>(P115*1000)/'App 1 - Services'!G115/52</f>
        <v>22.939588144277614</v>
      </c>
      <c r="X115" s="150">
        <f t="shared" si="14"/>
        <v>0.51602380907363254</v>
      </c>
      <c r="Y115" s="151">
        <f t="shared" si="15"/>
        <v>12171.448427359217</v>
      </c>
      <c r="Z115" s="152">
        <f t="shared" si="16"/>
        <v>0.24558575952888254</v>
      </c>
      <c r="AA115" s="151">
        <f t="shared" si="17"/>
        <v>14530.42</v>
      </c>
      <c r="AB115" s="152">
        <f t="shared" si="18"/>
        <v>0.29318320274458071</v>
      </c>
      <c r="AC115" s="151">
        <f t="shared" si="19"/>
        <v>22859.02</v>
      </c>
      <c r="AD115" s="152">
        <f t="shared" si="20"/>
        <v>0.46123103772653684</v>
      </c>
      <c r="AF115" s="146">
        <f>'[1]App 4-Recyclables'!V115+'[1]App 4-Recyclables'!AB115</f>
        <v>12171.448427359217</v>
      </c>
      <c r="AG115" s="146">
        <f>'[1]App 4-Recyclables'!W115+'[1]App 4-Recyclables'!AC115</f>
        <v>11249.448427359217</v>
      </c>
      <c r="AH115" s="146">
        <f>'[1]App 4-Recyclables'!X115+'[1]App 4-Recyclables'!AD115</f>
        <v>922</v>
      </c>
      <c r="AI115" s="146">
        <f>'[1]App 5-Organics'!V115+'[1]App 5-Organics'!AD115</f>
        <v>14530.42</v>
      </c>
      <c r="AJ115" s="146">
        <f>'[1]App 5-Organics'!W115+'[1]App 5-Organics'!AE115</f>
        <v>14273.42</v>
      </c>
      <c r="AK115" s="146">
        <f>'[1]App 5-Organics'!X115+'[1]App 5-Organics'!AF115</f>
        <v>257</v>
      </c>
      <c r="AL115" s="147">
        <f>'[1]App 6-Residual Waste'!AC115+'[1]App 6-Residual Waste'!AI115</f>
        <v>22859.02</v>
      </c>
      <c r="AM115" s="147">
        <f>'[1]App 6-Residual Waste'!AD115+'[1]App 6-Residual Waste'!AJ115</f>
        <v>51.730000000000004</v>
      </c>
      <c r="AN115" s="147">
        <f>'[1]App 6-Residual Waste'!AE115+'[1]App 6-Residual Waste'!AK115</f>
        <v>22807.29</v>
      </c>
      <c r="AO115" s="140"/>
      <c r="AP115" s="147">
        <f t="shared" si="21"/>
        <v>49560.888427359212</v>
      </c>
      <c r="AQ115" s="147">
        <f t="shared" si="21"/>
        <v>25574.598427359215</v>
      </c>
      <c r="AR115" s="147">
        <f t="shared" si="21"/>
        <v>23986.29</v>
      </c>
      <c r="AS115" s="148">
        <f t="shared" si="22"/>
        <v>0.51602380907363254</v>
      </c>
    </row>
    <row r="116" spans="1:45" ht="15.75" x14ac:dyDescent="0.25">
      <c r="A116" s="8">
        <v>17620</v>
      </c>
      <c r="B116" s="8" t="s">
        <v>167</v>
      </c>
      <c r="C116" s="8" t="s">
        <v>25</v>
      </c>
      <c r="D116" s="29" t="s">
        <v>4</v>
      </c>
      <c r="E116" s="145"/>
      <c r="F116" s="146">
        <f>'App 4 - Recyclables'!V116</f>
        <v>1114.4105109836837</v>
      </c>
      <c r="G116" s="146">
        <f>'App 4 - Recyclables'!W116</f>
        <v>1081.7905109836836</v>
      </c>
      <c r="H116" s="146">
        <f>'App 4 - Recyclables'!X116</f>
        <v>32.619999999999997</v>
      </c>
      <c r="I116" s="146">
        <f>'App 5 - Organics'!V116</f>
        <v>3.36</v>
      </c>
      <c r="J116" s="146">
        <f>'App 5 - Organics'!W116</f>
        <v>3.36</v>
      </c>
      <c r="K116" s="146">
        <f>'App 5 - Organics'!X116</f>
        <v>0</v>
      </c>
      <c r="L116" s="147">
        <f>'App 6 - Residual Waste'!AC116</f>
        <v>16824.129999999997</v>
      </c>
      <c r="M116" s="147">
        <f>'App 6 - Residual Waste'!AD116</f>
        <v>2642.7299999999996</v>
      </c>
      <c r="N116" s="147">
        <f>'App 6 - Residual Waste'!AE116</f>
        <v>14181.4</v>
      </c>
      <c r="O116" s="140"/>
      <c r="P116" s="147">
        <f t="shared" si="23"/>
        <v>17941.90051098368</v>
      </c>
      <c r="Q116" s="147">
        <f t="shared" si="23"/>
        <v>3727.8805109836831</v>
      </c>
      <c r="R116" s="147">
        <f t="shared" si="23"/>
        <v>14214.02</v>
      </c>
      <c r="S116" s="148">
        <f t="shared" si="13"/>
        <v>0.20777511884549507</v>
      </c>
      <c r="U116" s="149">
        <f>(P116*1000)/'App 1 - Services'!F116/52</f>
        <v>24.354947998034</v>
      </c>
      <c r="V116" s="149">
        <f>(P116*1000)/'App 1 - Services'!G116/52</f>
        <v>45.20326847742011</v>
      </c>
      <c r="X116" s="150">
        <f t="shared" si="14"/>
        <v>0.20777511884549507</v>
      </c>
      <c r="Y116" s="151">
        <f t="shared" si="15"/>
        <v>1114.4105109836837</v>
      </c>
      <c r="Z116" s="152">
        <f t="shared" si="16"/>
        <v>6.2112177597989877E-2</v>
      </c>
      <c r="AA116" s="151">
        <f t="shared" si="17"/>
        <v>3.36</v>
      </c>
      <c r="AB116" s="152">
        <f t="shared" si="18"/>
        <v>1.8727113094530167E-4</v>
      </c>
      <c r="AC116" s="151">
        <f t="shared" si="19"/>
        <v>16824.129999999997</v>
      </c>
      <c r="AD116" s="152">
        <f t="shared" si="20"/>
        <v>0.93770055127106489</v>
      </c>
      <c r="AF116" s="146">
        <f>'[1]App 4-Recyclables'!V116+'[1]App 4-Recyclables'!AB116</f>
        <v>1114.4105109836837</v>
      </c>
      <c r="AG116" s="146">
        <f>'[1]App 4-Recyclables'!W116+'[1]App 4-Recyclables'!AC116</f>
        <v>1081.7905109836836</v>
      </c>
      <c r="AH116" s="146">
        <f>'[1]App 4-Recyclables'!X116+'[1]App 4-Recyclables'!AD116</f>
        <v>32.619999999999997</v>
      </c>
      <c r="AI116" s="146">
        <f>'[1]App 5-Organics'!V116+'[1]App 5-Organics'!AD116</f>
        <v>258.47000000000003</v>
      </c>
      <c r="AJ116" s="146">
        <f>'[1]App 5-Organics'!W116+'[1]App 5-Organics'!AE116</f>
        <v>258.36</v>
      </c>
      <c r="AK116" s="146">
        <f>'[1]App 5-Organics'!X116+'[1]App 5-Organics'!AF116</f>
        <v>0</v>
      </c>
      <c r="AL116" s="147">
        <f>'[1]App 6-Residual Waste'!AC116+'[1]App 6-Residual Waste'!AI116</f>
        <v>18653.489999999998</v>
      </c>
      <c r="AM116" s="147">
        <f>'[1]App 6-Residual Waste'!AD116+'[1]App 6-Residual Waste'!AJ116</f>
        <v>2642.7299999999996</v>
      </c>
      <c r="AN116" s="147">
        <f>'[1]App 6-Residual Waste'!AE116+'[1]App 6-Residual Waste'!AK116</f>
        <v>16010.76</v>
      </c>
      <c r="AO116" s="140"/>
      <c r="AP116" s="147">
        <f t="shared" si="21"/>
        <v>20026.370510983681</v>
      </c>
      <c r="AQ116" s="147">
        <f t="shared" si="21"/>
        <v>3982.8805109836831</v>
      </c>
      <c r="AR116" s="147">
        <f t="shared" si="21"/>
        <v>16043.380000000001</v>
      </c>
      <c r="AS116" s="148">
        <f t="shared" si="22"/>
        <v>0.1988817948214445</v>
      </c>
    </row>
    <row r="117" spans="1:45" ht="15.75" x14ac:dyDescent="0.25">
      <c r="A117" s="8">
        <v>17640</v>
      </c>
      <c r="B117" s="8" t="s">
        <v>168</v>
      </c>
      <c r="C117" s="8" t="s">
        <v>74</v>
      </c>
      <c r="D117" s="29" t="s">
        <v>1</v>
      </c>
      <c r="E117" s="145"/>
      <c r="F117" s="146">
        <f>'App 4 - Recyclables'!V117</f>
        <v>529.76334709094704</v>
      </c>
      <c r="G117" s="146">
        <f>'App 4 - Recyclables'!W117</f>
        <v>512.20334709094709</v>
      </c>
      <c r="H117" s="146">
        <f>'App 4 - Recyclables'!X117</f>
        <v>17.559999999999999</v>
      </c>
      <c r="I117" s="146">
        <f>'App 5 - Organics'!V117</f>
        <v>400</v>
      </c>
      <c r="J117" s="146">
        <f>'App 5 - Organics'!W117</f>
        <v>400</v>
      </c>
      <c r="K117" s="146">
        <f>'App 5 - Organics'!X117</f>
        <v>0</v>
      </c>
      <c r="L117" s="147">
        <f>'App 6 - Residual Waste'!AC117</f>
        <v>4674</v>
      </c>
      <c r="M117" s="147">
        <f>'App 6 - Residual Waste'!AD117</f>
        <v>174</v>
      </c>
      <c r="N117" s="147">
        <f>'App 6 - Residual Waste'!AE117</f>
        <v>4500</v>
      </c>
      <c r="O117" s="140"/>
      <c r="P117" s="147">
        <f t="shared" si="23"/>
        <v>5603.7633470909468</v>
      </c>
      <c r="Q117" s="147">
        <f t="shared" si="23"/>
        <v>1086.2033470909471</v>
      </c>
      <c r="R117" s="147">
        <f t="shared" si="23"/>
        <v>4517.5600000000004</v>
      </c>
      <c r="S117" s="148">
        <f t="shared" si="13"/>
        <v>0.19383462145217506</v>
      </c>
      <c r="U117" s="149">
        <f>(P117*1000)/'App 1 - Services'!F117/52</f>
        <v>13.024495981598859</v>
      </c>
      <c r="V117" s="149">
        <f>(P117*1000)/'App 1 - Services'!G117/52</f>
        <v>16.846127833632792</v>
      </c>
      <c r="X117" s="150">
        <f t="shared" si="14"/>
        <v>0.19383462145217506</v>
      </c>
      <c r="Y117" s="151">
        <f t="shared" si="15"/>
        <v>529.76334709094704</v>
      </c>
      <c r="Z117" s="152">
        <f t="shared" si="16"/>
        <v>9.4537066303122946E-2</v>
      </c>
      <c r="AA117" s="151">
        <f t="shared" si="17"/>
        <v>400</v>
      </c>
      <c r="AB117" s="152">
        <f t="shared" si="18"/>
        <v>7.1380601789268985E-2</v>
      </c>
      <c r="AC117" s="151">
        <f t="shared" si="19"/>
        <v>4674</v>
      </c>
      <c r="AD117" s="152">
        <f t="shared" si="20"/>
        <v>0.83408233190760805</v>
      </c>
      <c r="AF117" s="146">
        <f>'[1]App 4-Recyclables'!V117+'[1]App 4-Recyclables'!AB117</f>
        <v>529.76334709094704</v>
      </c>
      <c r="AG117" s="146">
        <f>'[1]App 4-Recyclables'!W117+'[1]App 4-Recyclables'!AC117</f>
        <v>512.20334709094709</v>
      </c>
      <c r="AH117" s="146">
        <f>'[1]App 4-Recyclables'!X117+'[1]App 4-Recyclables'!AD117</f>
        <v>17.559999999999999</v>
      </c>
      <c r="AI117" s="146">
        <f>'[1]App 5-Organics'!V117+'[1]App 5-Organics'!AD117</f>
        <v>400</v>
      </c>
      <c r="AJ117" s="146">
        <f>'[1]App 5-Organics'!W117+'[1]App 5-Organics'!AE117</f>
        <v>400</v>
      </c>
      <c r="AK117" s="146">
        <f>'[1]App 5-Organics'!X117+'[1]App 5-Organics'!AF117</f>
        <v>0</v>
      </c>
      <c r="AL117" s="147">
        <f>'[1]App 6-Residual Waste'!AC117+'[1]App 6-Residual Waste'!AI117</f>
        <v>4674</v>
      </c>
      <c r="AM117" s="147">
        <f>'[1]App 6-Residual Waste'!AD117+'[1]App 6-Residual Waste'!AJ117</f>
        <v>174</v>
      </c>
      <c r="AN117" s="147">
        <f>'[1]App 6-Residual Waste'!AE117+'[1]App 6-Residual Waste'!AK117</f>
        <v>4500</v>
      </c>
      <c r="AO117" s="140"/>
      <c r="AP117" s="147">
        <f t="shared" si="21"/>
        <v>5603.7633470909468</v>
      </c>
      <c r="AQ117" s="147">
        <f t="shared" si="21"/>
        <v>1086.2033470909471</v>
      </c>
      <c r="AR117" s="147">
        <f t="shared" si="21"/>
        <v>4517.5600000000004</v>
      </c>
      <c r="AS117" s="148">
        <f t="shared" si="22"/>
        <v>0.19383462145217506</v>
      </c>
    </row>
    <row r="118" spans="1:45" ht="15.75" x14ac:dyDescent="0.25">
      <c r="A118" s="8">
        <v>17650</v>
      </c>
      <c r="B118" s="8" t="s">
        <v>169</v>
      </c>
      <c r="C118" s="8" t="s">
        <v>17</v>
      </c>
      <c r="D118" s="29" t="s">
        <v>1</v>
      </c>
      <c r="E118" s="145"/>
      <c r="F118" s="146">
        <f>'App 4 - Recyclables'!V118</f>
        <v>3078.63698135709</v>
      </c>
      <c r="G118" s="146">
        <f>'App 4 - Recyclables'!W118</f>
        <v>2978.7169813570904</v>
      </c>
      <c r="H118" s="146">
        <f>'App 4 - Recyclables'!X118</f>
        <v>99.92</v>
      </c>
      <c r="I118" s="146">
        <f>'App 5 - Organics'!V118</f>
        <v>1705.6</v>
      </c>
      <c r="J118" s="146">
        <f>'App 5 - Organics'!W118</f>
        <v>1705.6</v>
      </c>
      <c r="K118" s="146">
        <f>'App 5 - Organics'!X118</f>
        <v>0</v>
      </c>
      <c r="L118" s="147">
        <f>'App 6 - Residual Waste'!AC118</f>
        <v>2034.12</v>
      </c>
      <c r="M118" s="147">
        <f>'App 6 - Residual Waste'!AD118</f>
        <v>45.81</v>
      </c>
      <c r="N118" s="147">
        <f>'App 6 - Residual Waste'!AE118</f>
        <v>1988.31</v>
      </c>
      <c r="O118" s="140"/>
      <c r="P118" s="147">
        <f t="shared" si="23"/>
        <v>6818.3569813570894</v>
      </c>
      <c r="Q118" s="147">
        <f t="shared" si="23"/>
        <v>4730.1269813570907</v>
      </c>
      <c r="R118" s="147">
        <f t="shared" si="23"/>
        <v>2088.23</v>
      </c>
      <c r="S118" s="148">
        <f t="shared" si="13"/>
        <v>0.69373413482020874</v>
      </c>
      <c r="U118" s="149">
        <f>(P118*1000)/'App 1 - Services'!F118/52</f>
        <v>22.059597853546851</v>
      </c>
      <c r="V118" s="149">
        <f>(P118*1000)/'App 1 - Services'!G118/52</f>
        <v>41.494382797937497</v>
      </c>
      <c r="X118" s="150">
        <f t="shared" si="14"/>
        <v>0.69373413482020874</v>
      </c>
      <c r="Y118" s="151">
        <f t="shared" si="15"/>
        <v>3078.63698135709</v>
      </c>
      <c r="Z118" s="152">
        <f t="shared" si="16"/>
        <v>0.45152182406623342</v>
      </c>
      <c r="AA118" s="151">
        <f t="shared" si="17"/>
        <v>1705.6</v>
      </c>
      <c r="AB118" s="152">
        <f t="shared" si="18"/>
        <v>0.25014824020852694</v>
      </c>
      <c r="AC118" s="151">
        <f t="shared" si="19"/>
        <v>2034.12</v>
      </c>
      <c r="AD118" s="152">
        <f t="shared" si="20"/>
        <v>0.29832993572523969</v>
      </c>
      <c r="AF118" s="146">
        <f>'[1]App 4-Recyclables'!V118+'[1]App 4-Recyclables'!AB118</f>
        <v>3078.63698135709</v>
      </c>
      <c r="AG118" s="146">
        <f>'[1]App 4-Recyclables'!W118+'[1]App 4-Recyclables'!AC118</f>
        <v>2978.7169813570904</v>
      </c>
      <c r="AH118" s="146">
        <f>'[1]App 4-Recyclables'!X118+'[1]App 4-Recyclables'!AD118</f>
        <v>99.92</v>
      </c>
      <c r="AI118" s="146">
        <f>'[1]App 5-Organics'!V118+'[1]App 5-Organics'!AD118</f>
        <v>1705.6</v>
      </c>
      <c r="AJ118" s="146">
        <f>'[1]App 5-Organics'!W118+'[1]App 5-Organics'!AE118</f>
        <v>1705.6</v>
      </c>
      <c r="AK118" s="146">
        <f>'[1]App 5-Organics'!X118+'[1]App 5-Organics'!AF118</f>
        <v>0</v>
      </c>
      <c r="AL118" s="147">
        <f>'[1]App 6-Residual Waste'!AC118+'[1]App 6-Residual Waste'!AI118</f>
        <v>2034.12</v>
      </c>
      <c r="AM118" s="147">
        <f>'[1]App 6-Residual Waste'!AD118+'[1]App 6-Residual Waste'!AJ118</f>
        <v>45.81</v>
      </c>
      <c r="AN118" s="147">
        <f>'[1]App 6-Residual Waste'!AE118+'[1]App 6-Residual Waste'!AK118</f>
        <v>1988.31</v>
      </c>
      <c r="AO118" s="140"/>
      <c r="AP118" s="147">
        <f t="shared" si="21"/>
        <v>6818.3569813570894</v>
      </c>
      <c r="AQ118" s="147">
        <f t="shared" si="21"/>
        <v>4730.1269813570907</v>
      </c>
      <c r="AR118" s="147">
        <f t="shared" si="21"/>
        <v>2088.23</v>
      </c>
      <c r="AS118" s="148">
        <f t="shared" si="22"/>
        <v>0.69373413482020874</v>
      </c>
    </row>
    <row r="119" spans="1:45" ht="15.75" x14ac:dyDescent="0.25">
      <c r="A119" s="8">
        <v>17750</v>
      </c>
      <c r="B119" s="8" t="s">
        <v>170</v>
      </c>
      <c r="C119" s="8" t="s">
        <v>22</v>
      </c>
      <c r="D119" s="29" t="s">
        <v>1</v>
      </c>
      <c r="E119" s="145"/>
      <c r="F119" s="146">
        <f>'App 4 - Recyclables'!V119</f>
        <v>8961.3095388558468</v>
      </c>
      <c r="G119" s="146">
        <f>'App 4 - Recyclables'!W119</f>
        <v>6774.3095388558468</v>
      </c>
      <c r="H119" s="146">
        <f>'App 4 - Recyclables'!X119</f>
        <v>2187</v>
      </c>
      <c r="I119" s="146">
        <f>'App 5 - Organics'!V119</f>
        <v>14909</v>
      </c>
      <c r="J119" s="146">
        <f>'App 5 - Organics'!W119</f>
        <v>14362</v>
      </c>
      <c r="K119" s="146">
        <f>'App 5 - Organics'!X119</f>
        <v>547</v>
      </c>
      <c r="L119" s="147">
        <f>'App 6 - Residual Waste'!AC119</f>
        <v>16820</v>
      </c>
      <c r="M119" s="147">
        <f>'App 6 - Residual Waste'!AD119</f>
        <v>279</v>
      </c>
      <c r="N119" s="147">
        <f>'App 6 - Residual Waste'!AE119</f>
        <v>16541</v>
      </c>
      <c r="O119" s="140"/>
      <c r="P119" s="147">
        <f t="shared" si="23"/>
        <v>40690.309538855843</v>
      </c>
      <c r="Q119" s="147">
        <f t="shared" si="23"/>
        <v>21415.309538855847</v>
      </c>
      <c r="R119" s="147">
        <f t="shared" si="23"/>
        <v>19275</v>
      </c>
      <c r="S119" s="148">
        <f t="shared" si="13"/>
        <v>0.52629999087143875</v>
      </c>
      <c r="U119" s="149">
        <f>(P119*1000)/'App 1 - Services'!F119/52</f>
        <v>11.897612173792073</v>
      </c>
      <c r="V119" s="149">
        <f>(P119*1000)/'App 1 - Services'!G119/52</f>
        <v>30.529669254820515</v>
      </c>
      <c r="X119" s="150">
        <f t="shared" si="14"/>
        <v>0.52629999087143875</v>
      </c>
      <c r="Y119" s="151">
        <f t="shared" si="15"/>
        <v>8961.3095388558468</v>
      </c>
      <c r="Z119" s="152">
        <f t="shared" si="16"/>
        <v>0.22023203166588215</v>
      </c>
      <c r="AA119" s="151">
        <f t="shared" si="17"/>
        <v>14909</v>
      </c>
      <c r="AB119" s="152">
        <f t="shared" si="18"/>
        <v>0.3664017346873007</v>
      </c>
      <c r="AC119" s="151">
        <f t="shared" si="19"/>
        <v>16820</v>
      </c>
      <c r="AD119" s="152">
        <f t="shared" si="20"/>
        <v>0.41336623364681724</v>
      </c>
      <c r="AF119" s="146">
        <f>'[1]App 4-Recyclables'!V119+'[1]App 4-Recyclables'!AB119</f>
        <v>8961.3095388558468</v>
      </c>
      <c r="AG119" s="146">
        <f>'[1]App 4-Recyclables'!W119+'[1]App 4-Recyclables'!AC119</f>
        <v>6774.3095388558468</v>
      </c>
      <c r="AH119" s="146">
        <f>'[1]App 4-Recyclables'!X119+'[1]App 4-Recyclables'!AD119</f>
        <v>2187</v>
      </c>
      <c r="AI119" s="146">
        <f>'[1]App 5-Organics'!V119+'[1]App 5-Organics'!AD119</f>
        <v>16162</v>
      </c>
      <c r="AJ119" s="146">
        <f>'[1]App 5-Organics'!W119+'[1]App 5-Organics'!AE119</f>
        <v>14362</v>
      </c>
      <c r="AK119" s="146">
        <f>'[1]App 5-Organics'!X119+'[1]App 5-Organics'!AF119</f>
        <v>1800</v>
      </c>
      <c r="AL119" s="147">
        <f>'[1]App 6-Residual Waste'!AC119+'[1]App 6-Residual Waste'!AI119</f>
        <v>18993</v>
      </c>
      <c r="AM119" s="147">
        <f>'[1]App 6-Residual Waste'!AD119+'[1]App 6-Residual Waste'!AJ119</f>
        <v>279</v>
      </c>
      <c r="AN119" s="147">
        <f>'[1]App 6-Residual Waste'!AE119+'[1]App 6-Residual Waste'!AK119</f>
        <v>18714</v>
      </c>
      <c r="AO119" s="140"/>
      <c r="AP119" s="147">
        <f t="shared" si="21"/>
        <v>44116.309538855843</v>
      </c>
      <c r="AQ119" s="147">
        <f t="shared" si="21"/>
        <v>21415.309538855847</v>
      </c>
      <c r="AR119" s="147">
        <f t="shared" si="21"/>
        <v>22701</v>
      </c>
      <c r="AS119" s="148">
        <f t="shared" si="22"/>
        <v>0.48542839967142121</v>
      </c>
    </row>
    <row r="120" spans="1:45" ht="15.75" x14ac:dyDescent="0.25">
      <c r="A120" s="8">
        <v>17850</v>
      </c>
      <c r="B120" s="8" t="s">
        <v>171</v>
      </c>
      <c r="C120" s="8" t="s">
        <v>17</v>
      </c>
      <c r="D120" s="29" t="s">
        <v>1</v>
      </c>
      <c r="E120" s="145"/>
      <c r="F120" s="146">
        <f>'App 4 - Recyclables'!V120</f>
        <v>207.2049530106674</v>
      </c>
      <c r="G120" s="146">
        <f>'App 4 - Recyclables'!W120</f>
        <v>199.71495301066739</v>
      </c>
      <c r="H120" s="146">
        <f>'App 4 - Recyclables'!X120</f>
        <v>7.49</v>
      </c>
      <c r="I120" s="146">
        <f>'App 5 - Organics'!V120</f>
        <v>161.15</v>
      </c>
      <c r="J120" s="146">
        <f>'App 5 - Organics'!W120</f>
        <v>161.15</v>
      </c>
      <c r="K120" s="146">
        <f>'App 5 - Organics'!X120</f>
        <v>0</v>
      </c>
      <c r="L120" s="147">
        <f>'App 6 - Residual Waste'!AC120</f>
        <v>434.71</v>
      </c>
      <c r="M120" s="147">
        <f>'App 6 - Residual Waste'!AD120</f>
        <v>0</v>
      </c>
      <c r="N120" s="147">
        <f>'App 6 - Residual Waste'!AE120</f>
        <v>434.71</v>
      </c>
      <c r="O120" s="140"/>
      <c r="P120" s="147">
        <f t="shared" si="23"/>
        <v>803.0649530106673</v>
      </c>
      <c r="Q120" s="147">
        <f t="shared" si="23"/>
        <v>360.86495301066736</v>
      </c>
      <c r="R120" s="147">
        <f t="shared" si="23"/>
        <v>442.2</v>
      </c>
      <c r="S120" s="148">
        <f t="shared" si="13"/>
        <v>0.449359608656554</v>
      </c>
      <c r="U120" s="149">
        <f>(P120*1000)/'App 1 - Services'!F120/52</f>
        <v>4.9737703023081101</v>
      </c>
      <c r="V120" s="149">
        <f>(P120*1000)/'App 1 - Services'!G120/52</f>
        <v>8.4437161228358004</v>
      </c>
      <c r="W120" s="153"/>
      <c r="X120" s="150">
        <f t="shared" si="14"/>
        <v>0.449359608656554</v>
      </c>
      <c r="Y120" s="151">
        <f t="shared" si="15"/>
        <v>207.2049530106674</v>
      </c>
      <c r="Z120" s="152">
        <f t="shared" si="16"/>
        <v>0.2580176761965044</v>
      </c>
      <c r="AA120" s="151">
        <f t="shared" si="17"/>
        <v>161.15</v>
      </c>
      <c r="AB120" s="152">
        <f t="shared" si="18"/>
        <v>0.20066869983038521</v>
      </c>
      <c r="AC120" s="151">
        <f t="shared" si="19"/>
        <v>434.71</v>
      </c>
      <c r="AD120" s="152">
        <f t="shared" si="20"/>
        <v>0.54131362397311045</v>
      </c>
      <c r="AF120" s="146">
        <f>'[1]App 4-Recyclables'!V120+'[1]App 4-Recyclables'!AB120</f>
        <v>207.2049530106674</v>
      </c>
      <c r="AG120" s="146">
        <f>'[1]App 4-Recyclables'!W120+'[1]App 4-Recyclables'!AC120</f>
        <v>199.71495301066739</v>
      </c>
      <c r="AH120" s="146">
        <f>'[1]App 4-Recyclables'!X120+'[1]App 4-Recyclables'!AD120</f>
        <v>7.49</v>
      </c>
      <c r="AI120" s="146">
        <f>'[1]App 5-Organics'!V120+'[1]App 5-Organics'!AD120</f>
        <v>161.15</v>
      </c>
      <c r="AJ120" s="146">
        <f>'[1]App 5-Organics'!W120+'[1]App 5-Organics'!AE120</f>
        <v>161.15</v>
      </c>
      <c r="AK120" s="146">
        <f>'[1]App 5-Organics'!X120+'[1]App 5-Organics'!AF120</f>
        <v>0</v>
      </c>
      <c r="AL120" s="147">
        <f>'[1]App 6-Residual Waste'!AC120+'[1]App 6-Residual Waste'!AI120</f>
        <v>434.71</v>
      </c>
      <c r="AM120" s="147">
        <f>'[1]App 6-Residual Waste'!AD120+'[1]App 6-Residual Waste'!AJ120</f>
        <v>0</v>
      </c>
      <c r="AN120" s="147">
        <f>'[1]App 6-Residual Waste'!AE120+'[1]App 6-Residual Waste'!AK120</f>
        <v>434.71</v>
      </c>
      <c r="AO120" s="140"/>
      <c r="AP120" s="147">
        <f t="shared" si="21"/>
        <v>803.0649530106673</v>
      </c>
      <c r="AQ120" s="147">
        <f t="shared" si="21"/>
        <v>360.86495301066736</v>
      </c>
      <c r="AR120" s="147">
        <f t="shared" si="21"/>
        <v>442.2</v>
      </c>
      <c r="AS120" s="148">
        <f t="shared" si="22"/>
        <v>0.449359608656554</v>
      </c>
    </row>
    <row r="121" spans="1:45" ht="15.75" x14ac:dyDescent="0.25">
      <c r="A121" s="8">
        <v>17900</v>
      </c>
      <c r="B121" s="8" t="s">
        <v>172</v>
      </c>
      <c r="C121" s="8" t="s">
        <v>42</v>
      </c>
      <c r="D121" s="29" t="s">
        <v>1</v>
      </c>
      <c r="E121" s="145"/>
      <c r="F121" s="146">
        <f>'App 4 - Recyclables'!V121</f>
        <v>52.514154441791995</v>
      </c>
      <c r="G121" s="146">
        <f>'App 4 - Recyclables'!W121</f>
        <v>52.514154441791995</v>
      </c>
      <c r="H121" s="146">
        <f>'App 4 - Recyclables'!X121</f>
        <v>0</v>
      </c>
      <c r="I121" s="146">
        <f>'App 5 - Organics'!V121</f>
        <v>0</v>
      </c>
      <c r="J121" s="146">
        <f>'App 5 - Organics'!W121</f>
        <v>0</v>
      </c>
      <c r="K121" s="146">
        <f>'App 5 - Organics'!X121</f>
        <v>0</v>
      </c>
      <c r="L121" s="147">
        <f>'App 6 - Residual Waste'!AC121</f>
        <v>1500</v>
      </c>
      <c r="M121" s="147">
        <f>'App 6 - Residual Waste'!AD121</f>
        <v>0</v>
      </c>
      <c r="N121" s="147">
        <f>'App 6 - Residual Waste'!AE121</f>
        <v>1500</v>
      </c>
      <c r="O121" s="140"/>
      <c r="P121" s="147">
        <f t="shared" si="23"/>
        <v>1552.514154441792</v>
      </c>
      <c r="Q121" s="147">
        <f t="shared" si="23"/>
        <v>52.514154441791995</v>
      </c>
      <c r="R121" s="147">
        <f t="shared" si="23"/>
        <v>1500</v>
      </c>
      <c r="S121" s="148">
        <f t="shared" si="13"/>
        <v>3.3825233922375096E-2</v>
      </c>
      <c r="U121" s="149">
        <f>(P121*1000)/'App 1 - Services'!F121/52</f>
        <v>5.1228622909356423</v>
      </c>
      <c r="V121" s="149">
        <f>(P121*1000)/'App 1 - Services'!G121/52</f>
        <v>6.1331227262886037</v>
      </c>
      <c r="X121" s="150">
        <f t="shared" si="14"/>
        <v>3.3825233922375096E-2</v>
      </c>
      <c r="Y121" s="151">
        <f t="shared" si="15"/>
        <v>52.514154441791995</v>
      </c>
      <c r="Z121" s="152">
        <f t="shared" si="16"/>
        <v>3.3825233922375096E-2</v>
      </c>
      <c r="AA121" s="151">
        <f t="shared" si="17"/>
        <v>0</v>
      </c>
      <c r="AB121" s="152">
        <f t="shared" si="18"/>
        <v>0</v>
      </c>
      <c r="AC121" s="151">
        <f t="shared" si="19"/>
        <v>1500</v>
      </c>
      <c r="AD121" s="152">
        <f t="shared" si="20"/>
        <v>0.96617476607762487</v>
      </c>
      <c r="AF121" s="146">
        <f>'[1]App 4-Recyclables'!V121+'[1]App 4-Recyclables'!AB121</f>
        <v>52.514154441791995</v>
      </c>
      <c r="AG121" s="146">
        <f>'[1]App 4-Recyclables'!W121+'[1]App 4-Recyclables'!AC121</f>
        <v>52.514154441791995</v>
      </c>
      <c r="AH121" s="146">
        <f>'[1]App 4-Recyclables'!X121+'[1]App 4-Recyclables'!AD121</f>
        <v>0</v>
      </c>
      <c r="AI121" s="146">
        <f>'[1]App 5-Organics'!V121+'[1]App 5-Organics'!AD121</f>
        <v>0</v>
      </c>
      <c r="AJ121" s="146">
        <f>'[1]App 5-Organics'!W121+'[1]App 5-Organics'!AE121</f>
        <v>0</v>
      </c>
      <c r="AK121" s="146">
        <f>'[1]App 5-Organics'!X121+'[1]App 5-Organics'!AF121</f>
        <v>0</v>
      </c>
      <c r="AL121" s="147">
        <f>'[1]App 6-Residual Waste'!AC121+'[1]App 6-Residual Waste'!AI121</f>
        <v>1500</v>
      </c>
      <c r="AM121" s="147">
        <f>'[1]App 6-Residual Waste'!AD121+'[1]App 6-Residual Waste'!AJ121</f>
        <v>0</v>
      </c>
      <c r="AN121" s="147">
        <f>'[1]App 6-Residual Waste'!AE121+'[1]App 6-Residual Waste'!AK121</f>
        <v>1500</v>
      </c>
      <c r="AO121" s="140"/>
      <c r="AP121" s="147">
        <f t="shared" si="21"/>
        <v>1552.514154441792</v>
      </c>
      <c r="AQ121" s="147">
        <f t="shared" si="21"/>
        <v>52.514154441791995</v>
      </c>
      <c r="AR121" s="147">
        <f t="shared" si="21"/>
        <v>1500</v>
      </c>
      <c r="AS121" s="148">
        <f t="shared" si="22"/>
        <v>3.3825233922375096E-2</v>
      </c>
    </row>
    <row r="122" spans="1:45" ht="15.75" x14ac:dyDescent="0.25">
      <c r="A122" s="8">
        <v>17950</v>
      </c>
      <c r="B122" s="8" t="s">
        <v>173</v>
      </c>
      <c r="C122" s="8" t="s">
        <v>42</v>
      </c>
      <c r="D122" s="29" t="s">
        <v>1</v>
      </c>
      <c r="E122" s="145"/>
      <c r="F122" s="146">
        <f>'App 4 - Recyclables'!V122</f>
        <v>32.653268148667756</v>
      </c>
      <c r="G122" s="146">
        <f>'App 4 - Recyclables'!W122</f>
        <v>22.653268148667756</v>
      </c>
      <c r="H122" s="146">
        <f>'App 4 - Recyclables'!X122</f>
        <v>10</v>
      </c>
      <c r="I122" s="146">
        <f>'App 5 - Organics'!V122</f>
        <v>400</v>
      </c>
      <c r="J122" s="146">
        <f>'App 5 - Organics'!W122</f>
        <v>0</v>
      </c>
      <c r="K122" s="146">
        <f>'App 5 - Organics'!X122</f>
        <v>400</v>
      </c>
      <c r="L122" s="147">
        <f>'App 6 - Residual Waste'!AC122</f>
        <v>2132</v>
      </c>
      <c r="M122" s="147">
        <f>'App 6 - Residual Waste'!AD122</f>
        <v>0</v>
      </c>
      <c r="N122" s="147">
        <f>'App 6 - Residual Waste'!AE122</f>
        <v>2132</v>
      </c>
      <c r="O122" s="140"/>
      <c r="P122" s="147">
        <f t="shared" si="23"/>
        <v>2564.6532681486678</v>
      </c>
      <c r="Q122" s="147">
        <f t="shared" si="23"/>
        <v>22.653268148667756</v>
      </c>
      <c r="R122" s="147">
        <f t="shared" si="23"/>
        <v>2542</v>
      </c>
      <c r="S122" s="148">
        <f t="shared" si="13"/>
        <v>8.8328775004429139E-3</v>
      </c>
      <c r="U122" s="149">
        <f>(P122*1000)/'App 1 - Services'!F122/52</f>
        <v>18.159151383175679</v>
      </c>
      <c r="V122" s="149">
        <f>(P122*1000)/'App 1 - Services'!G122/52</f>
        <v>23.965138560109402</v>
      </c>
      <c r="X122" s="150">
        <f t="shared" si="14"/>
        <v>8.8328775004429139E-3</v>
      </c>
      <c r="Y122" s="151">
        <f t="shared" si="15"/>
        <v>32.653268148667756</v>
      </c>
      <c r="Z122" s="152">
        <f t="shared" si="16"/>
        <v>1.2732040059449827E-2</v>
      </c>
      <c r="AA122" s="151">
        <f t="shared" si="17"/>
        <v>400</v>
      </c>
      <c r="AB122" s="152">
        <f t="shared" si="18"/>
        <v>0.15596650236027648</v>
      </c>
      <c r="AC122" s="151">
        <f t="shared" si="19"/>
        <v>2132</v>
      </c>
      <c r="AD122" s="152">
        <f t="shared" si="20"/>
        <v>0.83130145758027363</v>
      </c>
      <c r="AF122" s="146">
        <f>'[1]App 4-Recyclables'!V122+'[1]App 4-Recyclables'!AB122</f>
        <v>32.653268148667756</v>
      </c>
      <c r="AG122" s="146">
        <f>'[1]App 4-Recyclables'!W122+'[1]App 4-Recyclables'!AC122</f>
        <v>22.653268148667756</v>
      </c>
      <c r="AH122" s="146">
        <f>'[1]App 4-Recyclables'!X122+'[1]App 4-Recyclables'!AD122</f>
        <v>10</v>
      </c>
      <c r="AI122" s="146">
        <f>'[1]App 5-Organics'!V122+'[1]App 5-Organics'!AD122</f>
        <v>400</v>
      </c>
      <c r="AJ122" s="146">
        <f>'[1]App 5-Organics'!W122+'[1]App 5-Organics'!AE122</f>
        <v>0</v>
      </c>
      <c r="AK122" s="146">
        <f>'[1]App 5-Organics'!X122+'[1]App 5-Organics'!AF122</f>
        <v>400</v>
      </c>
      <c r="AL122" s="147">
        <f>'[1]App 6-Residual Waste'!AC122+'[1]App 6-Residual Waste'!AI122</f>
        <v>2132</v>
      </c>
      <c r="AM122" s="147">
        <f>'[1]App 6-Residual Waste'!AD122+'[1]App 6-Residual Waste'!AJ122</f>
        <v>0</v>
      </c>
      <c r="AN122" s="147">
        <f>'[1]App 6-Residual Waste'!AE122+'[1]App 6-Residual Waste'!AK122</f>
        <v>2132</v>
      </c>
      <c r="AO122" s="140"/>
      <c r="AP122" s="147">
        <f t="shared" si="21"/>
        <v>2564.6532681486678</v>
      </c>
      <c r="AQ122" s="147">
        <f t="shared" si="21"/>
        <v>22.653268148667756</v>
      </c>
      <c r="AR122" s="147">
        <f t="shared" si="21"/>
        <v>2542</v>
      </c>
      <c r="AS122" s="148">
        <f t="shared" si="22"/>
        <v>8.8328775004429139E-3</v>
      </c>
    </row>
    <row r="123" spans="1:45" ht="15.75" x14ac:dyDescent="0.25">
      <c r="A123" s="8">
        <v>18020</v>
      </c>
      <c r="B123" s="8" t="s">
        <v>174</v>
      </c>
      <c r="C123" s="8" t="s">
        <v>42</v>
      </c>
      <c r="D123" s="29" t="s">
        <v>1</v>
      </c>
      <c r="E123" s="145"/>
      <c r="F123" s="146">
        <f>'App 4 - Recyclables'!V123</f>
        <v>754.0135502205228</v>
      </c>
      <c r="G123" s="146">
        <f>'App 4 - Recyclables'!W123</f>
        <v>669.3735502205227</v>
      </c>
      <c r="H123" s="146">
        <f>'App 4 - Recyclables'!X123</f>
        <v>84.64</v>
      </c>
      <c r="I123" s="146">
        <f>'App 5 - Organics'!V123</f>
        <v>0</v>
      </c>
      <c r="J123" s="146">
        <f>'App 5 - Organics'!W123</f>
        <v>0</v>
      </c>
      <c r="K123" s="146">
        <f>'App 5 - Organics'!X123</f>
        <v>0</v>
      </c>
      <c r="L123" s="147">
        <f>'App 6 - Residual Waste'!AC123</f>
        <v>3967</v>
      </c>
      <c r="M123" s="147">
        <f>'App 6 - Residual Waste'!AD123</f>
        <v>0</v>
      </c>
      <c r="N123" s="147">
        <f>'App 6 - Residual Waste'!AE123</f>
        <v>3967</v>
      </c>
      <c r="O123" s="140"/>
      <c r="P123" s="147">
        <f t="shared" si="23"/>
        <v>4721.013550220523</v>
      </c>
      <c r="Q123" s="147">
        <f t="shared" si="23"/>
        <v>669.3735502205227</v>
      </c>
      <c r="R123" s="147">
        <f t="shared" si="23"/>
        <v>4051.64</v>
      </c>
      <c r="S123" s="148">
        <f t="shared" si="13"/>
        <v>0.14178598368760362</v>
      </c>
      <c r="U123" s="149">
        <f>(P123*1000)/'App 1 - Services'!F123/52</f>
        <v>9.8586949852997545</v>
      </c>
      <c r="V123" s="149">
        <f>(P123*1000)/'App 1 - Services'!G123/52</f>
        <v>14.272712170983405</v>
      </c>
      <c r="X123" s="150">
        <f t="shared" si="14"/>
        <v>0.14178598368760362</v>
      </c>
      <c r="Y123" s="151">
        <f t="shared" si="15"/>
        <v>754.0135502205228</v>
      </c>
      <c r="Z123" s="152">
        <f t="shared" si="16"/>
        <v>0.15971433722856018</v>
      </c>
      <c r="AA123" s="151">
        <f t="shared" si="17"/>
        <v>0</v>
      </c>
      <c r="AB123" s="152">
        <f t="shared" si="18"/>
        <v>0</v>
      </c>
      <c r="AC123" s="151">
        <f t="shared" si="19"/>
        <v>3967</v>
      </c>
      <c r="AD123" s="152">
        <f t="shared" si="20"/>
        <v>0.84028566277143979</v>
      </c>
      <c r="AF123" s="146">
        <f>'[1]App 4-Recyclables'!V123+'[1]App 4-Recyclables'!AB123</f>
        <v>754.0135502205228</v>
      </c>
      <c r="AG123" s="146">
        <f>'[1]App 4-Recyclables'!W123+'[1]App 4-Recyclables'!AC123</f>
        <v>669.3735502205227</v>
      </c>
      <c r="AH123" s="146">
        <f>'[1]App 4-Recyclables'!X123+'[1]App 4-Recyclables'!AD123</f>
        <v>84.64</v>
      </c>
      <c r="AI123" s="146">
        <f>'[1]App 5-Organics'!V123+'[1]App 5-Organics'!AD123</f>
        <v>0</v>
      </c>
      <c r="AJ123" s="146">
        <f>'[1]App 5-Organics'!W123+'[1]App 5-Organics'!AE123</f>
        <v>0</v>
      </c>
      <c r="AK123" s="146">
        <f>'[1]App 5-Organics'!X123+'[1]App 5-Organics'!AF123</f>
        <v>0</v>
      </c>
      <c r="AL123" s="147">
        <f>'[1]App 6-Residual Waste'!AC123+'[1]App 6-Residual Waste'!AI123</f>
        <v>3967</v>
      </c>
      <c r="AM123" s="147">
        <f>'[1]App 6-Residual Waste'!AD123+'[1]App 6-Residual Waste'!AJ123</f>
        <v>0</v>
      </c>
      <c r="AN123" s="147">
        <f>'[1]App 6-Residual Waste'!AE123+'[1]App 6-Residual Waste'!AK123</f>
        <v>3967</v>
      </c>
      <c r="AO123" s="140"/>
      <c r="AP123" s="147">
        <f t="shared" si="21"/>
        <v>4721.013550220523</v>
      </c>
      <c r="AQ123" s="147">
        <f t="shared" si="21"/>
        <v>669.3735502205227</v>
      </c>
      <c r="AR123" s="147">
        <f t="shared" si="21"/>
        <v>4051.64</v>
      </c>
      <c r="AS123" s="148">
        <f t="shared" si="22"/>
        <v>0.14178598368760362</v>
      </c>
    </row>
    <row r="124" spans="1:45" ht="15.75" x14ac:dyDescent="0.25">
      <c r="A124" s="8">
        <v>18050</v>
      </c>
      <c r="B124" s="8" t="s">
        <v>69</v>
      </c>
      <c r="C124" s="8" t="s">
        <v>18</v>
      </c>
      <c r="D124" s="29" t="s">
        <v>3</v>
      </c>
      <c r="E124" s="145"/>
      <c r="F124" s="146">
        <f>'App 4 - Recyclables'!V124</f>
        <v>6054.0234794422458</v>
      </c>
      <c r="G124" s="146">
        <f>'App 4 - Recyclables'!W124</f>
        <v>5496.0234794422458</v>
      </c>
      <c r="H124" s="146">
        <f>'App 4 - Recyclables'!X124</f>
        <v>558</v>
      </c>
      <c r="I124" s="146">
        <f>'App 5 - Organics'!V124</f>
        <v>2359.1799999999998</v>
      </c>
      <c r="J124" s="146">
        <f>'App 5 - Organics'!W124</f>
        <v>2359.1799999999998</v>
      </c>
      <c r="K124" s="146">
        <f>'App 5 - Organics'!X124</f>
        <v>0</v>
      </c>
      <c r="L124" s="147">
        <f>'App 6 - Residual Waste'!AC124</f>
        <v>16544.760000000002</v>
      </c>
      <c r="M124" s="147">
        <f>'App 6 - Residual Waste'!AD124</f>
        <v>6267.1200000000008</v>
      </c>
      <c r="N124" s="147">
        <f>'App 6 - Residual Waste'!AE124</f>
        <v>10277.64</v>
      </c>
      <c r="O124" s="140"/>
      <c r="P124" s="147">
        <f t="shared" si="23"/>
        <v>24957.963479442245</v>
      </c>
      <c r="Q124" s="147">
        <f t="shared" si="23"/>
        <v>14122.323479442246</v>
      </c>
      <c r="R124" s="147">
        <f t="shared" si="23"/>
        <v>10835.64</v>
      </c>
      <c r="S124" s="148">
        <f t="shared" si="13"/>
        <v>0.56584438434148432</v>
      </c>
      <c r="U124" s="149">
        <f>(P124*1000)/'App 1 - Services'!F124/52</f>
        <v>6.4618562677462457</v>
      </c>
      <c r="V124" s="149">
        <f>(P124*1000)/'App 1 - Services'!G124/52</f>
        <v>16.130968479637026</v>
      </c>
      <c r="X124" s="150">
        <f t="shared" si="14"/>
        <v>0.56584438434148432</v>
      </c>
      <c r="Y124" s="151">
        <f t="shared" si="15"/>
        <v>6054.0234794422458</v>
      </c>
      <c r="Z124" s="152">
        <f t="shared" si="16"/>
        <v>0.24256880912695125</v>
      </c>
      <c r="AA124" s="151">
        <f t="shared" si="17"/>
        <v>2359.1799999999998</v>
      </c>
      <c r="AB124" s="152">
        <f t="shared" si="18"/>
        <v>9.4526142004464631E-2</v>
      </c>
      <c r="AC124" s="151">
        <f t="shared" si="19"/>
        <v>16544.760000000002</v>
      </c>
      <c r="AD124" s="152">
        <f t="shared" si="20"/>
        <v>0.66290504886858426</v>
      </c>
      <c r="AF124" s="146">
        <f>'[1]App 4-Recyclables'!V124+'[1]App 4-Recyclables'!AB124</f>
        <v>6054.0234794422458</v>
      </c>
      <c r="AG124" s="146">
        <f>'[1]App 4-Recyclables'!W124+'[1]App 4-Recyclables'!AC124</f>
        <v>5496.0234794422458</v>
      </c>
      <c r="AH124" s="146">
        <f>'[1]App 4-Recyclables'!X124+'[1]App 4-Recyclables'!AD124</f>
        <v>558</v>
      </c>
      <c r="AI124" s="146">
        <f>'[1]App 5-Organics'!V124+'[1]App 5-Organics'!AD124</f>
        <v>2359.1799999999998</v>
      </c>
      <c r="AJ124" s="146">
        <f>'[1]App 5-Organics'!W124+'[1]App 5-Organics'!AE124</f>
        <v>2359.1799999999998</v>
      </c>
      <c r="AK124" s="146">
        <f>'[1]App 5-Organics'!X124+'[1]App 5-Organics'!AF124</f>
        <v>0</v>
      </c>
      <c r="AL124" s="147">
        <f>'[1]App 6-Residual Waste'!AC124+'[1]App 6-Residual Waste'!AI124</f>
        <v>16960.400000000001</v>
      </c>
      <c r="AM124" s="147">
        <f>'[1]App 6-Residual Waste'!AD124+'[1]App 6-Residual Waste'!AJ124</f>
        <v>6267.1200000000008</v>
      </c>
      <c r="AN124" s="147">
        <f>'[1]App 6-Residual Waste'!AE124+'[1]App 6-Residual Waste'!AK124</f>
        <v>10692.64</v>
      </c>
      <c r="AO124" s="140"/>
      <c r="AP124" s="147">
        <f t="shared" si="21"/>
        <v>25373.603479442245</v>
      </c>
      <c r="AQ124" s="147">
        <f t="shared" si="21"/>
        <v>14122.323479442246</v>
      </c>
      <c r="AR124" s="147">
        <f t="shared" si="21"/>
        <v>11250.64</v>
      </c>
      <c r="AS124" s="148">
        <f t="shared" si="22"/>
        <v>0.55657539895286012</v>
      </c>
    </row>
    <row r="125" spans="1:45" ht="15.75" x14ac:dyDescent="0.25">
      <c r="A125" s="8">
        <v>18100</v>
      </c>
      <c r="B125" s="8" t="s">
        <v>175</v>
      </c>
      <c r="C125" s="8" t="s">
        <v>42</v>
      </c>
      <c r="D125" s="29" t="s">
        <v>1</v>
      </c>
      <c r="E125" s="145"/>
      <c r="F125" s="146">
        <f>'App 4 - Recyclables'!V125</f>
        <v>202.0048555374313</v>
      </c>
      <c r="G125" s="146">
        <f>'App 4 - Recyclables'!W125</f>
        <v>188.63485553743129</v>
      </c>
      <c r="H125" s="146">
        <f>'App 4 - Recyclables'!X125</f>
        <v>13.370000000000001</v>
      </c>
      <c r="I125" s="146">
        <f>'App 5 - Organics'!V125</f>
        <v>493.92</v>
      </c>
      <c r="J125" s="146">
        <f>'App 5 - Organics'!W125</f>
        <v>0</v>
      </c>
      <c r="K125" s="146">
        <f>'App 5 - Organics'!X125</f>
        <v>493.92</v>
      </c>
      <c r="L125" s="147">
        <f>'App 6 - Residual Waste'!AC125</f>
        <v>1458</v>
      </c>
      <c r="M125" s="147">
        <f>'App 6 - Residual Waste'!AD125</f>
        <v>0</v>
      </c>
      <c r="N125" s="147">
        <f>'App 6 - Residual Waste'!AE125</f>
        <v>1458</v>
      </c>
      <c r="O125" s="140"/>
      <c r="P125" s="147">
        <f t="shared" si="23"/>
        <v>2153.9248555374315</v>
      </c>
      <c r="Q125" s="147">
        <f t="shared" si="23"/>
        <v>188.63485553743129</v>
      </c>
      <c r="R125" s="147">
        <f t="shared" si="23"/>
        <v>1965.29</v>
      </c>
      <c r="S125" s="148">
        <f t="shared" si="13"/>
        <v>8.7577268562771898E-2</v>
      </c>
      <c r="U125" s="149">
        <f>(P125*1000)/'App 1 - Services'!F125/52</f>
        <v>11.518807518703643</v>
      </c>
      <c r="V125" s="149">
        <f>(P125*1000)/'App 1 - Services'!G125/52</f>
        <v>15.894716744918762</v>
      </c>
      <c r="X125" s="150">
        <f t="shared" si="14"/>
        <v>8.7577268562771898E-2</v>
      </c>
      <c r="Y125" s="151">
        <f t="shared" si="15"/>
        <v>202.0048555374313</v>
      </c>
      <c r="Z125" s="152">
        <f t="shared" si="16"/>
        <v>9.3784541748569275E-2</v>
      </c>
      <c r="AA125" s="151">
        <f t="shared" si="17"/>
        <v>493.92</v>
      </c>
      <c r="AB125" s="152">
        <f t="shared" si="18"/>
        <v>0.22931162093710122</v>
      </c>
      <c r="AC125" s="151">
        <f t="shared" si="19"/>
        <v>1458</v>
      </c>
      <c r="AD125" s="152">
        <f t="shared" si="20"/>
        <v>0.67690383731432935</v>
      </c>
      <c r="AF125" s="146">
        <f>'[1]App 4-Recyclables'!V125+'[1]App 4-Recyclables'!AB125</f>
        <v>202.0048555374313</v>
      </c>
      <c r="AG125" s="146">
        <f>'[1]App 4-Recyclables'!W125+'[1]App 4-Recyclables'!AC125</f>
        <v>188.63485553743129</v>
      </c>
      <c r="AH125" s="146">
        <f>'[1]App 4-Recyclables'!X125+'[1]App 4-Recyclables'!AD125</f>
        <v>13.370000000000001</v>
      </c>
      <c r="AI125" s="146">
        <f>'[1]App 5-Organics'!V125+'[1]App 5-Organics'!AD125</f>
        <v>493.92</v>
      </c>
      <c r="AJ125" s="146">
        <f>'[1]App 5-Organics'!W125+'[1]App 5-Organics'!AE125</f>
        <v>0</v>
      </c>
      <c r="AK125" s="146">
        <f>'[1]App 5-Organics'!X125+'[1]App 5-Organics'!AF125</f>
        <v>493.92</v>
      </c>
      <c r="AL125" s="147">
        <f>'[1]App 6-Residual Waste'!AC125+'[1]App 6-Residual Waste'!AI125</f>
        <v>1458</v>
      </c>
      <c r="AM125" s="147">
        <f>'[1]App 6-Residual Waste'!AD125+'[1]App 6-Residual Waste'!AJ125</f>
        <v>0</v>
      </c>
      <c r="AN125" s="147">
        <f>'[1]App 6-Residual Waste'!AE125+'[1]App 6-Residual Waste'!AK125</f>
        <v>1458</v>
      </c>
      <c r="AO125" s="140"/>
      <c r="AP125" s="147">
        <f t="shared" si="21"/>
        <v>2153.9248555374315</v>
      </c>
      <c r="AQ125" s="147">
        <f t="shared" si="21"/>
        <v>188.63485553743129</v>
      </c>
      <c r="AR125" s="147">
        <f t="shared" si="21"/>
        <v>1965.29</v>
      </c>
      <c r="AS125" s="148">
        <f t="shared" si="22"/>
        <v>8.7577268562771898E-2</v>
      </c>
    </row>
    <row r="126" spans="1:45" ht="15.75" x14ac:dyDescent="0.25">
      <c r="A126" s="8">
        <v>18200</v>
      </c>
      <c r="B126" s="8" t="s">
        <v>176</v>
      </c>
      <c r="C126" s="8" t="s">
        <v>73</v>
      </c>
      <c r="D126" s="29" t="s">
        <v>1</v>
      </c>
      <c r="E126" s="145"/>
      <c r="F126" s="146">
        <f>'App 4 - Recyclables'!V126</f>
        <v>845.38137666054081</v>
      </c>
      <c r="G126" s="146">
        <f>'App 4 - Recyclables'!W126</f>
        <v>845.38137666054081</v>
      </c>
      <c r="H126" s="146">
        <f>'App 4 - Recyclables'!X126</f>
        <v>0</v>
      </c>
      <c r="I126" s="146">
        <f>'App 5 - Organics'!V126</f>
        <v>0</v>
      </c>
      <c r="J126" s="146">
        <f>'App 5 - Organics'!W126</f>
        <v>0</v>
      </c>
      <c r="K126" s="146">
        <f>'App 5 - Organics'!X126</f>
        <v>0</v>
      </c>
      <c r="L126" s="147">
        <f>'App 6 - Residual Waste'!AC126</f>
        <v>2371.62</v>
      </c>
      <c r="M126" s="147">
        <f>'App 6 - Residual Waste'!AD126</f>
        <v>0</v>
      </c>
      <c r="N126" s="147">
        <f>'App 6 - Residual Waste'!AE126</f>
        <v>2371.62</v>
      </c>
      <c r="O126" s="140"/>
      <c r="P126" s="147">
        <f t="shared" si="23"/>
        <v>3217.0013766605407</v>
      </c>
      <c r="Q126" s="147">
        <f t="shared" si="23"/>
        <v>845.38137666054081</v>
      </c>
      <c r="R126" s="147">
        <f t="shared" si="23"/>
        <v>2371.62</v>
      </c>
      <c r="S126" s="148">
        <f t="shared" si="13"/>
        <v>0.26278551908426673</v>
      </c>
      <c r="U126" s="149">
        <f>(P126*1000)/'App 1 - Services'!F126/52</f>
        <v>8.7257279392984177</v>
      </c>
      <c r="V126" s="149">
        <f>(P126*1000)/'App 1 - Services'!G126/52</f>
        <v>21.237696906840295</v>
      </c>
      <c r="X126" s="150">
        <f t="shared" si="14"/>
        <v>0.26278551908426673</v>
      </c>
      <c r="Y126" s="151">
        <f t="shared" si="15"/>
        <v>845.38137666054081</v>
      </c>
      <c r="Z126" s="152">
        <f t="shared" si="16"/>
        <v>0.26278551908426673</v>
      </c>
      <c r="AA126" s="151">
        <f t="shared" si="17"/>
        <v>0</v>
      </c>
      <c r="AB126" s="152">
        <f t="shared" si="18"/>
        <v>0</v>
      </c>
      <c r="AC126" s="151">
        <f t="shared" si="19"/>
        <v>2371.62</v>
      </c>
      <c r="AD126" s="152">
        <f t="shared" si="20"/>
        <v>0.73721448091573327</v>
      </c>
      <c r="AF126" s="146">
        <f>'[1]App 4-Recyclables'!V126+'[1]App 4-Recyclables'!AB126</f>
        <v>845.38137666054081</v>
      </c>
      <c r="AG126" s="146">
        <f>'[1]App 4-Recyclables'!W126+'[1]App 4-Recyclables'!AC126</f>
        <v>845.38137666054081</v>
      </c>
      <c r="AH126" s="146">
        <f>'[1]App 4-Recyclables'!X126+'[1]App 4-Recyclables'!AD126</f>
        <v>0</v>
      </c>
      <c r="AI126" s="146">
        <f>'[1]App 5-Organics'!V126+'[1]App 5-Organics'!AD126</f>
        <v>91</v>
      </c>
      <c r="AJ126" s="146">
        <f>'[1]App 5-Organics'!W126+'[1]App 5-Organics'!AE126</f>
        <v>91</v>
      </c>
      <c r="AK126" s="146">
        <f>'[1]App 5-Organics'!X126+'[1]App 5-Organics'!AF126</f>
        <v>0</v>
      </c>
      <c r="AL126" s="147">
        <f>'[1]App 6-Residual Waste'!AC126+'[1]App 6-Residual Waste'!AI126</f>
        <v>2448.62</v>
      </c>
      <c r="AM126" s="147">
        <f>'[1]App 6-Residual Waste'!AD126+'[1]App 6-Residual Waste'!AJ126</f>
        <v>0</v>
      </c>
      <c r="AN126" s="147">
        <f>'[1]App 6-Residual Waste'!AE126+'[1]App 6-Residual Waste'!AK126</f>
        <v>2448.62</v>
      </c>
      <c r="AO126" s="140"/>
      <c r="AP126" s="147">
        <f t="shared" si="21"/>
        <v>3385.0013766605407</v>
      </c>
      <c r="AQ126" s="147">
        <f t="shared" si="21"/>
        <v>936.38137666054081</v>
      </c>
      <c r="AR126" s="147">
        <f t="shared" si="21"/>
        <v>2448.62</v>
      </c>
      <c r="AS126" s="148">
        <f t="shared" si="22"/>
        <v>0.27662658665868078</v>
      </c>
    </row>
    <row r="127" spans="1:45" ht="15.75" x14ac:dyDescent="0.25">
      <c r="A127" s="8">
        <v>18250</v>
      </c>
      <c r="B127" s="8" t="s">
        <v>70</v>
      </c>
      <c r="C127" s="8" t="s">
        <v>26</v>
      </c>
      <c r="D127" s="29" t="s">
        <v>3</v>
      </c>
      <c r="E127" s="145"/>
      <c r="F127" s="146">
        <f>'App 4 - Recyclables'!V127</f>
        <v>6793.2637776724468</v>
      </c>
      <c r="G127" s="146">
        <f>'App 4 - Recyclables'!W127</f>
        <v>6343.4937776724464</v>
      </c>
      <c r="H127" s="146">
        <f>'App 4 - Recyclables'!X127</f>
        <v>449.77</v>
      </c>
      <c r="I127" s="146">
        <f>'App 5 - Organics'!V127</f>
        <v>6981.92</v>
      </c>
      <c r="J127" s="146">
        <f>'App 5 - Organics'!W127</f>
        <v>6981.92</v>
      </c>
      <c r="K127" s="146">
        <f>'App 5 - Organics'!X127</f>
        <v>0</v>
      </c>
      <c r="L127" s="147">
        <f>'App 6 - Residual Waste'!AC127</f>
        <v>17611.38</v>
      </c>
      <c r="M127" s="147">
        <f>'App 6 - Residual Waste'!AD127</f>
        <v>2485.8200000000006</v>
      </c>
      <c r="N127" s="147">
        <f>'App 6 - Residual Waste'!AE127</f>
        <v>15125.560000000001</v>
      </c>
      <c r="O127" s="140"/>
      <c r="P127" s="147">
        <f t="shared" si="23"/>
        <v>31386.563777672447</v>
      </c>
      <c r="Q127" s="147">
        <f t="shared" si="23"/>
        <v>15811.233777672445</v>
      </c>
      <c r="R127" s="147">
        <f t="shared" si="23"/>
        <v>15575.330000000002</v>
      </c>
      <c r="S127" s="148">
        <f t="shared" si="13"/>
        <v>0.50375803766451588</v>
      </c>
      <c r="U127" s="149">
        <f>(P127*1000)/'App 1 - Services'!F127/52</f>
        <v>7.433713051815845</v>
      </c>
      <c r="V127" s="149">
        <f>(P127*1000)/'App 1 - Services'!G127/52</f>
        <v>18.675941859439938</v>
      </c>
      <c r="X127" s="150">
        <f t="shared" si="14"/>
        <v>0.50375803766451588</v>
      </c>
      <c r="Y127" s="151">
        <f t="shared" si="15"/>
        <v>6793.2637776724468</v>
      </c>
      <c r="Z127" s="152">
        <f t="shared" si="16"/>
        <v>0.21643859537452745</v>
      </c>
      <c r="AA127" s="151">
        <f t="shared" si="17"/>
        <v>6981.92</v>
      </c>
      <c r="AB127" s="152">
        <f t="shared" si="18"/>
        <v>0.22244932734454828</v>
      </c>
      <c r="AC127" s="151">
        <f t="shared" si="19"/>
        <v>17611.38</v>
      </c>
      <c r="AD127" s="152">
        <f t="shared" si="20"/>
        <v>0.56111207728092427</v>
      </c>
      <c r="AF127" s="146">
        <f>'[1]App 4-Recyclables'!V127+'[1]App 4-Recyclables'!AB127</f>
        <v>6793.2637776724468</v>
      </c>
      <c r="AG127" s="146">
        <f>'[1]App 4-Recyclables'!W127+'[1]App 4-Recyclables'!AC127</f>
        <v>6343.4937776724464</v>
      </c>
      <c r="AH127" s="146">
        <f>'[1]App 4-Recyclables'!X127+'[1]App 4-Recyclables'!AD127</f>
        <v>449.77</v>
      </c>
      <c r="AI127" s="146">
        <f>'[1]App 5-Organics'!V127+'[1]App 5-Organics'!AD127</f>
        <v>7050.3</v>
      </c>
      <c r="AJ127" s="146">
        <f>'[1]App 5-Organics'!W127+'[1]App 5-Organics'!AE127</f>
        <v>7049.92</v>
      </c>
      <c r="AK127" s="146">
        <f>'[1]App 5-Organics'!X127+'[1]App 5-Organics'!AF127</f>
        <v>0</v>
      </c>
      <c r="AL127" s="147">
        <f>'[1]App 6-Residual Waste'!AC127+'[1]App 6-Residual Waste'!AI127</f>
        <v>18600.400000000001</v>
      </c>
      <c r="AM127" s="147">
        <f>'[1]App 6-Residual Waste'!AD127+'[1]App 6-Residual Waste'!AJ127</f>
        <v>2485.8200000000006</v>
      </c>
      <c r="AN127" s="147">
        <f>'[1]App 6-Residual Waste'!AE127+'[1]App 6-Residual Waste'!AK127</f>
        <v>16114.580000000002</v>
      </c>
      <c r="AO127" s="140"/>
      <c r="AP127" s="147">
        <f t="shared" si="21"/>
        <v>32443.963777672448</v>
      </c>
      <c r="AQ127" s="147">
        <f t="shared" si="21"/>
        <v>15879.233777672445</v>
      </c>
      <c r="AR127" s="147">
        <f t="shared" si="21"/>
        <v>16564.350000000002</v>
      </c>
      <c r="AS127" s="148">
        <f t="shared" si="22"/>
        <v>0.48943568937776788</v>
      </c>
    </row>
    <row r="128" spans="1:45" ht="15.75" x14ac:dyDescent="0.25">
      <c r="A128" s="8">
        <v>18350</v>
      </c>
      <c r="B128" s="8" t="s">
        <v>71</v>
      </c>
      <c r="C128" s="8" t="s">
        <v>74</v>
      </c>
      <c r="D128" s="29" t="s">
        <v>2</v>
      </c>
      <c r="E128" s="145"/>
      <c r="F128" s="146">
        <f>'App 4 - Recyclables'!V128</f>
        <v>5441.3844310885388</v>
      </c>
      <c r="G128" s="146">
        <f>'App 4 - Recyclables'!W128</f>
        <v>4287.6944310885383</v>
      </c>
      <c r="H128" s="146">
        <f>'App 4 - Recyclables'!X128</f>
        <v>1153.6899999999998</v>
      </c>
      <c r="I128" s="146">
        <f>'App 5 - Organics'!V128</f>
        <v>11060.599999999999</v>
      </c>
      <c r="J128" s="146">
        <f>'App 5 - Organics'!W128</f>
        <v>10773.029999999999</v>
      </c>
      <c r="K128" s="146">
        <f>'App 5 - Organics'!X128</f>
        <v>287.57</v>
      </c>
      <c r="L128" s="147">
        <f>'App 6 - Residual Waste'!AC128</f>
        <v>14405.349999999999</v>
      </c>
      <c r="M128" s="147">
        <f>'App 6 - Residual Waste'!AD128</f>
        <v>4436.68</v>
      </c>
      <c r="N128" s="147">
        <f>'App 6 - Residual Waste'!AE128</f>
        <v>9968.67</v>
      </c>
      <c r="O128" s="140"/>
      <c r="P128" s="147">
        <f t="shared" si="23"/>
        <v>30907.334431088537</v>
      </c>
      <c r="Q128" s="147">
        <f t="shared" si="23"/>
        <v>19497.404431088537</v>
      </c>
      <c r="R128" s="147">
        <f t="shared" si="23"/>
        <v>11409.93</v>
      </c>
      <c r="S128" s="148">
        <f t="shared" si="13"/>
        <v>0.63083422721426352</v>
      </c>
      <c r="U128" s="149">
        <f>(P128*1000)/'App 1 - Services'!F128/52</f>
        <v>11.483226738455793</v>
      </c>
      <c r="V128" s="149">
        <f>(P128*1000)/'App 1 - Services'!G128/52</f>
        <v>28.587937856883837</v>
      </c>
      <c r="X128" s="150">
        <f t="shared" si="14"/>
        <v>0.63083422721426352</v>
      </c>
      <c r="Y128" s="151">
        <f t="shared" si="15"/>
        <v>5441.3844310885388</v>
      </c>
      <c r="Z128" s="152">
        <f t="shared" si="16"/>
        <v>0.17605479512381542</v>
      </c>
      <c r="AA128" s="151">
        <f t="shared" si="17"/>
        <v>11060.599999999999</v>
      </c>
      <c r="AB128" s="152">
        <f t="shared" si="18"/>
        <v>0.35786327755506969</v>
      </c>
      <c r="AC128" s="151">
        <f t="shared" si="19"/>
        <v>14405.349999999999</v>
      </c>
      <c r="AD128" s="152">
        <f t="shared" si="20"/>
        <v>0.46608192732111486</v>
      </c>
      <c r="AF128" s="146">
        <f>'[1]App 4-Recyclables'!V128+'[1]App 4-Recyclables'!AB128</f>
        <v>5463.5144310885389</v>
      </c>
      <c r="AG128" s="146">
        <f>'[1]App 4-Recyclables'!W128+'[1]App 4-Recyclables'!AC128</f>
        <v>4307.6944310885383</v>
      </c>
      <c r="AH128" s="146">
        <f>'[1]App 4-Recyclables'!X128+'[1]App 4-Recyclables'!AD128</f>
        <v>1156.4199999999998</v>
      </c>
      <c r="AI128" s="146">
        <f>'[1]App 5-Organics'!V128+'[1]App 5-Organics'!AD128</f>
        <v>11263.229999999998</v>
      </c>
      <c r="AJ128" s="146">
        <f>'[1]App 5-Organics'!W128+'[1]App 5-Organics'!AE128</f>
        <v>10970.029999999999</v>
      </c>
      <c r="AK128" s="146">
        <f>'[1]App 5-Organics'!X128+'[1]App 5-Organics'!AF128</f>
        <v>292.83999999999997</v>
      </c>
      <c r="AL128" s="147">
        <f>'[1]App 6-Residual Waste'!AC128+'[1]App 6-Residual Waste'!AI128</f>
        <v>14901.729999999998</v>
      </c>
      <c r="AM128" s="147">
        <f>'[1]App 6-Residual Waste'!AD128+'[1]App 6-Residual Waste'!AJ128</f>
        <v>4907.68</v>
      </c>
      <c r="AN128" s="147">
        <f>'[1]App 6-Residual Waste'!AE128+'[1]App 6-Residual Waste'!AK128</f>
        <v>9993.7100000000009</v>
      </c>
      <c r="AO128" s="140"/>
      <c r="AP128" s="147">
        <f t="shared" si="21"/>
        <v>31628.474431088536</v>
      </c>
      <c r="AQ128" s="147">
        <f t="shared" si="21"/>
        <v>20185.404431088537</v>
      </c>
      <c r="AR128" s="147">
        <f t="shared" si="21"/>
        <v>11442.970000000001</v>
      </c>
      <c r="AS128" s="148">
        <f t="shared" si="22"/>
        <v>0.63820354266748069</v>
      </c>
    </row>
    <row r="129" spans="1:45" ht="15.75" x14ac:dyDescent="0.25">
      <c r="A129" s="8">
        <v>18400</v>
      </c>
      <c r="B129" s="8" t="s">
        <v>177</v>
      </c>
      <c r="C129" s="8" t="s">
        <v>193</v>
      </c>
      <c r="D129" s="29" t="s">
        <v>4</v>
      </c>
      <c r="E129" s="145"/>
      <c r="F129" s="146">
        <f>'App 4 - Recyclables'!V129</f>
        <v>4586.0792316781835</v>
      </c>
      <c r="G129" s="146">
        <f>'App 4 - Recyclables'!W129</f>
        <v>4329.8592316781833</v>
      </c>
      <c r="H129" s="146">
        <f>'App 4 - Recyclables'!X129</f>
        <v>256.22000000000003</v>
      </c>
      <c r="I129" s="146">
        <f>'App 5 - Organics'!V129</f>
        <v>5545.6</v>
      </c>
      <c r="J129" s="146">
        <f>'App 5 - Organics'!W129</f>
        <v>5545.6</v>
      </c>
      <c r="K129" s="146">
        <f>'App 5 - Organics'!X129</f>
        <v>0</v>
      </c>
      <c r="L129" s="147">
        <f>'App 6 - Residual Waste'!AC129</f>
        <v>13782.84</v>
      </c>
      <c r="M129" s="147">
        <f>'App 6 - Residual Waste'!AD129</f>
        <v>2456.44</v>
      </c>
      <c r="N129" s="147">
        <f>'App 6 - Residual Waste'!AE129</f>
        <v>11326.4</v>
      </c>
      <c r="O129" s="140"/>
      <c r="P129" s="147">
        <f t="shared" si="23"/>
        <v>23914.519231678183</v>
      </c>
      <c r="Q129" s="147">
        <f t="shared" si="23"/>
        <v>12331.899231678184</v>
      </c>
      <c r="R129" s="147">
        <f t="shared" si="23"/>
        <v>11582.619999999999</v>
      </c>
      <c r="S129" s="148">
        <f t="shared" si="13"/>
        <v>0.51566578078403635</v>
      </c>
      <c r="U129" s="149">
        <f>(P129*1000)/'App 1 - Services'!F129/52</f>
        <v>8.5157781799684447</v>
      </c>
      <c r="V129" s="149">
        <f>(P129*1000)/'App 1 - Services'!G129/52</f>
        <v>21.995054790243238</v>
      </c>
      <c r="X129" s="150">
        <f t="shared" si="14"/>
        <v>0.51566578078403635</v>
      </c>
      <c r="Y129" s="151">
        <f t="shared" si="15"/>
        <v>4586.0792316781835</v>
      </c>
      <c r="Z129" s="152">
        <f t="shared" si="16"/>
        <v>0.1917696603995814</v>
      </c>
      <c r="AA129" s="151">
        <f t="shared" si="17"/>
        <v>5545.6</v>
      </c>
      <c r="AB129" s="152">
        <f t="shared" si="18"/>
        <v>0.23189259822769359</v>
      </c>
      <c r="AC129" s="151">
        <f t="shared" si="19"/>
        <v>13782.84</v>
      </c>
      <c r="AD129" s="152">
        <f t="shared" si="20"/>
        <v>0.57633774137272509</v>
      </c>
      <c r="AF129" s="146">
        <f>'[1]App 4-Recyclables'!V129+'[1]App 4-Recyclables'!AB129</f>
        <v>4586.0792316781835</v>
      </c>
      <c r="AG129" s="146">
        <f>'[1]App 4-Recyclables'!W129+'[1]App 4-Recyclables'!AC129</f>
        <v>4329.8592316781833</v>
      </c>
      <c r="AH129" s="146">
        <f>'[1]App 4-Recyclables'!X129+'[1]App 4-Recyclables'!AD129</f>
        <v>256.22000000000003</v>
      </c>
      <c r="AI129" s="146">
        <f>'[1]App 5-Organics'!V129+'[1]App 5-Organics'!AD129</f>
        <v>5545.6</v>
      </c>
      <c r="AJ129" s="146">
        <f>'[1]App 5-Organics'!W129+'[1]App 5-Organics'!AE129</f>
        <v>5545.6</v>
      </c>
      <c r="AK129" s="146">
        <f>'[1]App 5-Organics'!X129+'[1]App 5-Organics'!AF129</f>
        <v>0</v>
      </c>
      <c r="AL129" s="147">
        <f>'[1]App 6-Residual Waste'!AC129+'[1]App 6-Residual Waste'!AI129</f>
        <v>13782.84</v>
      </c>
      <c r="AM129" s="147">
        <f>'[1]App 6-Residual Waste'!AD129+'[1]App 6-Residual Waste'!AJ129</f>
        <v>2456.44</v>
      </c>
      <c r="AN129" s="147">
        <f>'[1]App 6-Residual Waste'!AE129+'[1]App 6-Residual Waste'!AK129</f>
        <v>11326.4</v>
      </c>
      <c r="AO129" s="140"/>
      <c r="AP129" s="147">
        <f t="shared" si="21"/>
        <v>23914.519231678183</v>
      </c>
      <c r="AQ129" s="147">
        <f t="shared" si="21"/>
        <v>12331.899231678184</v>
      </c>
      <c r="AR129" s="147">
        <f t="shared" si="21"/>
        <v>11582.619999999999</v>
      </c>
      <c r="AS129" s="148">
        <f t="shared" si="22"/>
        <v>0.51566578078403635</v>
      </c>
    </row>
    <row r="130" spans="1:45" ht="15.75" x14ac:dyDescent="0.25">
      <c r="A130" s="8">
        <v>18450</v>
      </c>
      <c r="B130" s="8" t="s">
        <v>178</v>
      </c>
      <c r="C130" s="8" t="s">
        <v>41</v>
      </c>
      <c r="D130" s="29" t="s">
        <v>2</v>
      </c>
      <c r="E130" s="145"/>
      <c r="F130" s="146">
        <f>'App 4 - Recyclables'!V130</f>
        <v>19918.031878006936</v>
      </c>
      <c r="G130" s="146">
        <f>'App 4 - Recyclables'!W130</f>
        <v>18453.031878006936</v>
      </c>
      <c r="H130" s="146">
        <f>'App 4 - Recyclables'!X130</f>
        <v>1465</v>
      </c>
      <c r="I130" s="146">
        <f>'App 5 - Organics'!V130</f>
        <v>30561</v>
      </c>
      <c r="J130" s="146">
        <f>'App 5 - Organics'!W130</f>
        <v>30561</v>
      </c>
      <c r="K130" s="146">
        <f>'App 5 - Organics'!X130</f>
        <v>0</v>
      </c>
      <c r="L130" s="147">
        <f>'App 6 - Residual Waste'!AC130</f>
        <v>44002</v>
      </c>
      <c r="M130" s="147">
        <f>'App 6 - Residual Waste'!AD130</f>
        <v>61</v>
      </c>
      <c r="N130" s="147">
        <f>'App 6 - Residual Waste'!AE130</f>
        <v>43941</v>
      </c>
      <c r="O130" s="140"/>
      <c r="P130" s="147">
        <f t="shared" si="23"/>
        <v>94481.031878006936</v>
      </c>
      <c r="Q130" s="147">
        <f t="shared" si="23"/>
        <v>49075.031878006936</v>
      </c>
      <c r="R130" s="147">
        <f t="shared" si="23"/>
        <v>45406</v>
      </c>
      <c r="S130" s="148">
        <f t="shared" si="13"/>
        <v>0.51941676442920504</v>
      </c>
      <c r="U130" s="149">
        <f>(P130*1000)/'App 1 - Services'!F130/52</f>
        <v>8.2664215358233584</v>
      </c>
      <c r="V130" s="149">
        <f>(P130*1000)/'App 1 - Services'!G130/52</f>
        <v>20.070951116042934</v>
      </c>
      <c r="X130" s="150">
        <f t="shared" si="14"/>
        <v>0.51941676442920504</v>
      </c>
      <c r="Y130" s="151">
        <f t="shared" si="15"/>
        <v>19918.031878006936</v>
      </c>
      <c r="Z130" s="152">
        <f t="shared" si="16"/>
        <v>0.21081513910352842</v>
      </c>
      <c r="AA130" s="151">
        <f t="shared" si="17"/>
        <v>30561</v>
      </c>
      <c r="AB130" s="152">
        <f t="shared" si="18"/>
        <v>0.32346175092012214</v>
      </c>
      <c r="AC130" s="151">
        <f t="shared" si="19"/>
        <v>44002</v>
      </c>
      <c r="AD130" s="152">
        <f t="shared" si="20"/>
        <v>0.46572310997634941</v>
      </c>
      <c r="AF130" s="146">
        <f>'[1]App 4-Recyclables'!V130+'[1]App 4-Recyclables'!AB130</f>
        <v>19918.031878006936</v>
      </c>
      <c r="AG130" s="146">
        <f>'[1]App 4-Recyclables'!W130+'[1]App 4-Recyclables'!AC130</f>
        <v>18453.031878006936</v>
      </c>
      <c r="AH130" s="146">
        <f>'[1]App 4-Recyclables'!X130+'[1]App 4-Recyclables'!AD130</f>
        <v>1465</v>
      </c>
      <c r="AI130" s="146">
        <f>'[1]App 5-Organics'!V130+'[1]App 5-Organics'!AD130</f>
        <v>31057.56</v>
      </c>
      <c r="AJ130" s="146">
        <f>'[1]App 5-Organics'!W130+'[1]App 5-Organics'!AE130</f>
        <v>31057</v>
      </c>
      <c r="AK130" s="146">
        <f>'[1]App 5-Organics'!X130+'[1]App 5-Organics'!AF130</f>
        <v>0</v>
      </c>
      <c r="AL130" s="147">
        <f>'[1]App 6-Residual Waste'!AC130+'[1]App 6-Residual Waste'!AI130</f>
        <v>48309.33</v>
      </c>
      <c r="AM130" s="147">
        <f>'[1]App 6-Residual Waste'!AD130+'[1]App 6-Residual Waste'!AJ130</f>
        <v>61</v>
      </c>
      <c r="AN130" s="147">
        <f>'[1]App 6-Residual Waste'!AE130+'[1]App 6-Residual Waste'!AK130</f>
        <v>48248.33</v>
      </c>
      <c r="AO130" s="140"/>
      <c r="AP130" s="147">
        <f t="shared" si="21"/>
        <v>99284.921878006935</v>
      </c>
      <c r="AQ130" s="147">
        <f t="shared" si="21"/>
        <v>49571.031878006936</v>
      </c>
      <c r="AR130" s="147">
        <f t="shared" si="21"/>
        <v>49713.33</v>
      </c>
      <c r="AS130" s="148">
        <f t="shared" si="22"/>
        <v>0.49928056486679523</v>
      </c>
    </row>
    <row r="131" spans="1:45" ht="15.75" x14ac:dyDescent="0.25">
      <c r="A131" s="8">
        <v>18500</v>
      </c>
      <c r="B131" s="8" t="s">
        <v>72</v>
      </c>
      <c r="C131" s="8" t="s">
        <v>18</v>
      </c>
      <c r="D131" s="29" t="s">
        <v>3</v>
      </c>
      <c r="E131" s="145"/>
      <c r="F131" s="146">
        <f>'App 4 - Recyclables'!V131</f>
        <v>7503.06</v>
      </c>
      <c r="G131" s="146">
        <f>'App 4 - Recyclables'!W131</f>
        <v>7094.85</v>
      </c>
      <c r="H131" s="146">
        <f>'App 4 - Recyclables'!X131</f>
        <v>408.21</v>
      </c>
      <c r="I131" s="146">
        <f>'App 5 - Organics'!V131</f>
        <v>4092.41</v>
      </c>
      <c r="J131" s="146">
        <f>'App 5 - Organics'!W131</f>
        <v>4092.41</v>
      </c>
      <c r="K131" s="146">
        <f>'App 5 - Organics'!X131</f>
        <v>0</v>
      </c>
      <c r="L131" s="147">
        <f>'App 6 - Residual Waste'!AC131</f>
        <v>12844.09</v>
      </c>
      <c r="M131" s="147">
        <f>'App 6 - Residual Waste'!AD131</f>
        <v>1930.0900000000008</v>
      </c>
      <c r="N131" s="147">
        <f>'App 6 - Residual Waste'!AE131</f>
        <v>10914</v>
      </c>
      <c r="O131" s="140"/>
      <c r="P131" s="147">
        <f t="shared" si="23"/>
        <v>24439.56</v>
      </c>
      <c r="Q131" s="147">
        <f t="shared" si="23"/>
        <v>13117.35</v>
      </c>
      <c r="R131" s="147">
        <f t="shared" si="23"/>
        <v>11322.21</v>
      </c>
      <c r="S131" s="148">
        <f t="shared" si="13"/>
        <v>0.53672611127205239</v>
      </c>
      <c r="U131" s="149">
        <f>(P131*1000)/'App 1 - Services'!F131/52</f>
        <v>7.9081882933408236</v>
      </c>
      <c r="V131" s="149">
        <f>(P131*1000)/'App 1 - Services'!G131/52</f>
        <v>17.804733055329713</v>
      </c>
      <c r="X131" s="150">
        <f t="shared" si="14"/>
        <v>0.53672611127205239</v>
      </c>
      <c r="Y131" s="151">
        <f t="shared" si="15"/>
        <v>7503.06</v>
      </c>
      <c r="Z131" s="152">
        <f t="shared" si="16"/>
        <v>0.30700470875907748</v>
      </c>
      <c r="AA131" s="151">
        <f t="shared" si="17"/>
        <v>4092.41</v>
      </c>
      <c r="AB131" s="152">
        <f t="shared" si="18"/>
        <v>0.16745023232824158</v>
      </c>
      <c r="AC131" s="151">
        <f t="shared" si="19"/>
        <v>12844.09</v>
      </c>
      <c r="AD131" s="152">
        <f t="shared" si="20"/>
        <v>0.52554505891268088</v>
      </c>
      <c r="AF131" s="146">
        <f>'[1]App 4-Recyclables'!V131+'[1]App 4-Recyclables'!AB131</f>
        <v>7503.06</v>
      </c>
      <c r="AG131" s="146">
        <f>'[1]App 4-Recyclables'!W131+'[1]App 4-Recyclables'!AC131</f>
        <v>7094.85</v>
      </c>
      <c r="AH131" s="146">
        <f>'[1]App 4-Recyclables'!X131+'[1]App 4-Recyclables'!AD131</f>
        <v>408.21</v>
      </c>
      <c r="AI131" s="146">
        <f>'[1]App 5-Organics'!V131+'[1]App 5-Organics'!AD131</f>
        <v>4092.41</v>
      </c>
      <c r="AJ131" s="146">
        <f>'[1]App 5-Organics'!W131+'[1]App 5-Organics'!AE131</f>
        <v>4092.41</v>
      </c>
      <c r="AK131" s="146">
        <f>'[1]App 5-Organics'!X131+'[1]App 5-Organics'!AF131</f>
        <v>0</v>
      </c>
      <c r="AL131" s="147">
        <f>'[1]App 6-Residual Waste'!AC131+'[1]App 6-Residual Waste'!AI131</f>
        <v>13490.4</v>
      </c>
      <c r="AM131" s="147">
        <f>'[1]App 6-Residual Waste'!AD131+'[1]App 6-Residual Waste'!AJ131</f>
        <v>1930.0900000000008</v>
      </c>
      <c r="AN131" s="147">
        <f>'[1]App 6-Residual Waste'!AE131+'[1]App 6-Residual Waste'!AK131</f>
        <v>11560</v>
      </c>
      <c r="AO131" s="140"/>
      <c r="AP131" s="147">
        <f t="shared" si="21"/>
        <v>25085.870000000003</v>
      </c>
      <c r="AQ131" s="147">
        <f t="shared" si="21"/>
        <v>13117.35</v>
      </c>
      <c r="AR131" s="147">
        <f t="shared" si="21"/>
        <v>11968.21</v>
      </c>
      <c r="AS131" s="148">
        <f t="shared" si="22"/>
        <v>0.52289795012092466</v>
      </c>
    </row>
    <row r="132" spans="1:45" ht="15.75" x14ac:dyDescent="0.25">
      <c r="A132" s="8">
        <v>18710</v>
      </c>
      <c r="B132" s="8" t="s">
        <v>179</v>
      </c>
      <c r="C132" s="8" t="s">
        <v>74</v>
      </c>
      <c r="D132" s="29" t="s">
        <v>1</v>
      </c>
      <c r="E132" s="145"/>
      <c r="F132" s="146">
        <f>'App 4 - Recyclables'!V132</f>
        <v>2680.7178066892011</v>
      </c>
      <c r="G132" s="146">
        <f>'App 4 - Recyclables'!W132</f>
        <v>2648.5578066892012</v>
      </c>
      <c r="H132" s="146">
        <f>'App 4 - Recyclables'!X132</f>
        <v>32.159999999999997</v>
      </c>
      <c r="I132" s="146">
        <f>'App 5 - Organics'!V132</f>
        <v>800</v>
      </c>
      <c r="J132" s="146">
        <f>'App 5 - Organics'!W132</f>
        <v>800</v>
      </c>
      <c r="K132" s="146">
        <f>'App 5 - Organics'!X132</f>
        <v>0</v>
      </c>
      <c r="L132" s="147">
        <f>'App 6 - Residual Waste'!AC132</f>
        <v>7615</v>
      </c>
      <c r="M132" s="147">
        <f>'App 6 - Residual Waste'!AD132</f>
        <v>1800</v>
      </c>
      <c r="N132" s="147">
        <f>'App 6 - Residual Waste'!AE132</f>
        <v>5815</v>
      </c>
      <c r="O132" s="140"/>
      <c r="P132" s="147">
        <f t="shared" si="23"/>
        <v>11095.717806689201</v>
      </c>
      <c r="Q132" s="147">
        <f t="shared" si="23"/>
        <v>5248.5578066892012</v>
      </c>
      <c r="R132" s="147">
        <f t="shared" si="23"/>
        <v>5847.16</v>
      </c>
      <c r="S132" s="148">
        <f t="shared" si="13"/>
        <v>0.47302553094176913</v>
      </c>
      <c r="U132" s="149">
        <f>(P132*1000)/'App 1 - Services'!F132/52</f>
        <v>12.319103319102648</v>
      </c>
      <c r="V132" s="149">
        <f>(P132*1000)/'App 1 - Services'!G132/52</f>
        <v>27.423106103351362</v>
      </c>
      <c r="X132" s="150">
        <f t="shared" si="14"/>
        <v>0.47302553094176913</v>
      </c>
      <c r="Y132" s="151">
        <f t="shared" si="15"/>
        <v>2680.7178066892011</v>
      </c>
      <c r="Z132" s="152">
        <f t="shared" si="16"/>
        <v>0.24159931366252796</v>
      </c>
      <c r="AA132" s="151">
        <f t="shared" si="17"/>
        <v>800</v>
      </c>
      <c r="AB132" s="152">
        <f t="shared" si="18"/>
        <v>7.2099886995838108E-2</v>
      </c>
      <c r="AC132" s="151">
        <f t="shared" si="19"/>
        <v>7615</v>
      </c>
      <c r="AD132" s="152">
        <f t="shared" si="20"/>
        <v>0.6863007993416339</v>
      </c>
      <c r="AF132" s="146">
        <f>'[1]App 4-Recyclables'!V132+'[1]App 4-Recyclables'!AB132</f>
        <v>2680.7178066892011</v>
      </c>
      <c r="AG132" s="146">
        <f>'[1]App 4-Recyclables'!W132+'[1]App 4-Recyclables'!AC132</f>
        <v>2648.5578066892012</v>
      </c>
      <c r="AH132" s="146">
        <f>'[1]App 4-Recyclables'!X132+'[1]App 4-Recyclables'!AD132</f>
        <v>32.159999999999997</v>
      </c>
      <c r="AI132" s="146">
        <f>'[1]App 5-Organics'!V132+'[1]App 5-Organics'!AD132</f>
        <v>800</v>
      </c>
      <c r="AJ132" s="146">
        <f>'[1]App 5-Organics'!W132+'[1]App 5-Organics'!AE132</f>
        <v>800</v>
      </c>
      <c r="AK132" s="146">
        <f>'[1]App 5-Organics'!X132+'[1]App 5-Organics'!AF132</f>
        <v>0</v>
      </c>
      <c r="AL132" s="147">
        <f>'[1]App 6-Residual Waste'!AC132+'[1]App 6-Residual Waste'!AI132</f>
        <v>7615</v>
      </c>
      <c r="AM132" s="147">
        <f>'[1]App 6-Residual Waste'!AD132+'[1]App 6-Residual Waste'!AJ132</f>
        <v>1800</v>
      </c>
      <c r="AN132" s="147">
        <f>'[1]App 6-Residual Waste'!AE132+'[1]App 6-Residual Waste'!AK132</f>
        <v>5815</v>
      </c>
      <c r="AO132" s="140"/>
      <c r="AP132" s="147">
        <f t="shared" si="21"/>
        <v>11095.717806689201</v>
      </c>
      <c r="AQ132" s="147">
        <f t="shared" si="21"/>
        <v>5248.5578066892012</v>
      </c>
      <c r="AR132" s="147">
        <f t="shared" si="21"/>
        <v>5847.16</v>
      </c>
      <c r="AS132" s="148">
        <f t="shared" si="22"/>
        <v>0.47302553094176913</v>
      </c>
    </row>
    <row r="133" spans="1:45" s="153" customFormat="1" ht="15.75" x14ac:dyDescent="0.25">
      <c r="A133" s="652" t="s">
        <v>568</v>
      </c>
      <c r="B133" s="652"/>
      <c r="C133" s="652"/>
      <c r="D133" s="154"/>
      <c r="F133" s="594"/>
      <c r="G133" s="156"/>
      <c r="H133" s="157"/>
      <c r="I133" s="157"/>
      <c r="J133" s="157"/>
      <c r="K133" s="157"/>
      <c r="L133" s="157"/>
      <c r="M133" s="157"/>
      <c r="N133" s="157"/>
      <c r="O133" s="140"/>
      <c r="P133" s="158"/>
      <c r="Q133" s="138"/>
      <c r="R133" s="138"/>
      <c r="S133" s="138"/>
      <c r="AF133" s="155"/>
      <c r="AG133" s="156"/>
      <c r="AH133" s="157"/>
      <c r="AI133" s="157"/>
      <c r="AJ133" s="157"/>
      <c r="AK133" s="157"/>
      <c r="AL133" s="157"/>
      <c r="AM133" s="157"/>
      <c r="AN133" s="157"/>
      <c r="AO133" s="140"/>
      <c r="AP133" s="158"/>
      <c r="AQ133" s="138"/>
      <c r="AR133" s="138"/>
      <c r="AS133" s="138"/>
    </row>
    <row r="134" spans="1:45" s="153" customFormat="1" ht="15" customHeight="1" x14ac:dyDescent="0.2">
      <c r="A134" s="628" t="s">
        <v>8</v>
      </c>
      <c r="B134" s="629"/>
      <c r="C134" s="630"/>
      <c r="D134" s="154"/>
      <c r="F134" s="159">
        <f>SUM(F5:F132)</f>
        <v>827959.64061781368</v>
      </c>
      <c r="G134" s="159">
        <f t="shared" ref="G134:R134" si="24">SUM(G5:G132)</f>
        <v>759223.33061781363</v>
      </c>
      <c r="H134" s="159">
        <f t="shared" si="24"/>
        <v>68736.31</v>
      </c>
      <c r="I134" s="159">
        <f t="shared" si="24"/>
        <v>863221.53000000014</v>
      </c>
      <c r="J134" s="159">
        <f t="shared" si="24"/>
        <v>846827.0700000003</v>
      </c>
      <c r="K134" s="159">
        <f t="shared" si="24"/>
        <v>16394.28</v>
      </c>
      <c r="L134" s="159">
        <f t="shared" si="24"/>
        <v>2353185.69</v>
      </c>
      <c r="M134" s="159">
        <f t="shared" si="24"/>
        <v>260054.72000000003</v>
      </c>
      <c r="N134" s="159">
        <f t="shared" si="24"/>
        <v>2093130.9700000004</v>
      </c>
      <c r="O134" s="159"/>
      <c r="P134" s="159">
        <f>SUM(P5:P132)</f>
        <v>4044366.8606178123</v>
      </c>
      <c r="Q134" s="159">
        <f t="shared" si="24"/>
        <v>1866105.1206178134</v>
      </c>
      <c r="R134" s="159">
        <f t="shared" si="24"/>
        <v>2178261.56</v>
      </c>
      <c r="S134" s="160">
        <f>Q134/P134</f>
        <v>0.46140846884813747</v>
      </c>
      <c r="U134" s="161">
        <f>(P134*1000)/'App 1 - Services'!F134/52</f>
        <v>9.5237383941328329</v>
      </c>
      <c r="V134" s="161">
        <f>(P134*1000)/'App 1 - Services'!G134/52</f>
        <v>23.104177481444712</v>
      </c>
      <c r="X134" s="172">
        <f>F134+I134</f>
        <v>1691181.1706178137</v>
      </c>
      <c r="Y134" s="162"/>
      <c r="AA134" s="163"/>
      <c r="AF134" s="159">
        <f>SUM(AF5:AF132)</f>
        <v>832531.51061781356</v>
      </c>
      <c r="AG134" s="159">
        <f t="shared" ref="AG134:AN134" si="25">SUM(AG5:AG132)</f>
        <v>763790.33061781363</v>
      </c>
      <c r="AH134" s="159">
        <f t="shared" si="25"/>
        <v>68739.539999999994</v>
      </c>
      <c r="AI134" s="159">
        <f t="shared" si="25"/>
        <v>887143.61</v>
      </c>
      <c r="AJ134" s="159">
        <f t="shared" si="25"/>
        <v>868154.0700000003</v>
      </c>
      <c r="AK134" s="159">
        <f t="shared" si="25"/>
        <v>18977.819999999996</v>
      </c>
      <c r="AL134" s="159">
        <f t="shared" si="25"/>
        <v>2463951.5700000012</v>
      </c>
      <c r="AM134" s="159">
        <f t="shared" si="25"/>
        <v>267977.72000000003</v>
      </c>
      <c r="AN134" s="159">
        <f t="shared" si="25"/>
        <v>2195970.2400000002</v>
      </c>
      <c r="AO134" s="159"/>
      <c r="AP134" s="159">
        <f>SUM(AP5:AP132)</f>
        <v>4183626.6906178123</v>
      </c>
      <c r="AQ134" s="159">
        <f>SUM(AQ5:AQ132)</f>
        <v>1899922.1206178134</v>
      </c>
      <c r="AR134" s="159">
        <f>SUM(AR5:AR132)</f>
        <v>2283687.600000001</v>
      </c>
      <c r="AS134" s="160">
        <f>AQ134/AP134</f>
        <v>0.45413280417169455</v>
      </c>
    </row>
    <row r="135" spans="1:45" s="153" customFormat="1" ht="11.25" x14ac:dyDescent="0.2">
      <c r="B135" s="153" t="s">
        <v>181</v>
      </c>
      <c r="D135" s="154"/>
      <c r="F135" s="156"/>
      <c r="G135" s="164"/>
      <c r="H135" s="164"/>
      <c r="I135" s="164"/>
      <c r="J135" s="164"/>
      <c r="K135" s="164"/>
      <c r="L135" s="164"/>
      <c r="M135" s="164"/>
      <c r="N135" s="164"/>
      <c r="O135" s="164"/>
      <c r="P135" s="156"/>
      <c r="Q135" s="164"/>
      <c r="R135" s="156"/>
      <c r="S135" s="164"/>
      <c r="W135" s="163"/>
      <c r="AF135" s="156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56"/>
      <c r="AQ135" s="164"/>
      <c r="AR135" s="156"/>
      <c r="AS135" s="164"/>
    </row>
    <row r="136" spans="1:45" s="153" customFormat="1" ht="15" customHeight="1" x14ac:dyDescent="0.2">
      <c r="A136" s="624" t="s">
        <v>9</v>
      </c>
      <c r="B136" s="624"/>
      <c r="C136" s="624"/>
      <c r="D136" s="154"/>
      <c r="E136" s="165"/>
      <c r="F136" s="166">
        <f t="shared" ref="F136:N136" si="26">SUMIF($D$5:$D$132,"S",F$5:F$132)</f>
        <v>381094.51831079641</v>
      </c>
      <c r="G136" s="166">
        <f t="shared" si="26"/>
        <v>345743.72831079649</v>
      </c>
      <c r="H136" s="166">
        <f t="shared" si="26"/>
        <v>35350.789999999994</v>
      </c>
      <c r="I136" s="166">
        <f t="shared" si="26"/>
        <v>346993.47999999992</v>
      </c>
      <c r="J136" s="166">
        <f t="shared" si="26"/>
        <v>343526.48999999993</v>
      </c>
      <c r="K136" s="166">
        <f t="shared" si="26"/>
        <v>3466.99</v>
      </c>
      <c r="L136" s="166">
        <f t="shared" si="26"/>
        <v>1230625.6500000001</v>
      </c>
      <c r="M136" s="166">
        <f t="shared" si="26"/>
        <v>211940.67</v>
      </c>
      <c r="N136" s="166">
        <f t="shared" si="26"/>
        <v>1018684.9800000001</v>
      </c>
      <c r="O136" s="167"/>
      <c r="P136" s="166">
        <f>SUMIF($D$5:$D$132,"S",P$5:P$132)</f>
        <v>1958713.6483107964</v>
      </c>
      <c r="Q136" s="166">
        <f>SUMIF($D$5:$D$132,"S",Q$5:Q$132)</f>
        <v>901210.88831079658</v>
      </c>
      <c r="R136" s="166">
        <f>SUMIF($D$5:$D$132,"S",R$5:R$132)</f>
        <v>1057502.76</v>
      </c>
      <c r="S136" s="167">
        <f>Q136/P136</f>
        <v>0.46010344038190831</v>
      </c>
      <c r="U136" s="161">
        <f>(P136*1000)/'App 1 - Services'!F175/52</f>
        <v>7.8142308999689041</v>
      </c>
      <c r="V136" s="161">
        <f>(P136*1000)/'App 1 - Services'!G175/52</f>
        <v>20.554056869613834</v>
      </c>
      <c r="W136" s="153" t="s">
        <v>9</v>
      </c>
      <c r="X136" s="168">
        <f>P136/$P$134</f>
        <v>0.48430662099025945</v>
      </c>
      <c r="AF136" s="166">
        <f t="shared" ref="AF136:AN136" si="27">SUMIF($D$5:$D$132,"S",AF$5:AF$132)</f>
        <v>381094.86831079639</v>
      </c>
      <c r="AG136" s="166">
        <f t="shared" si="27"/>
        <v>345743.72831079649</v>
      </c>
      <c r="AH136" s="166">
        <f t="shared" si="27"/>
        <v>35350.789999999994</v>
      </c>
      <c r="AI136" s="166">
        <f t="shared" si="27"/>
        <v>359275.55</v>
      </c>
      <c r="AJ136" s="166">
        <f t="shared" si="27"/>
        <v>355120.48999999993</v>
      </c>
      <c r="AK136" s="166">
        <f t="shared" si="27"/>
        <v>4150.96</v>
      </c>
      <c r="AL136" s="166">
        <f t="shared" si="27"/>
        <v>1247921.4999999998</v>
      </c>
      <c r="AM136" s="166">
        <f t="shared" si="27"/>
        <v>214057.67</v>
      </c>
      <c r="AN136" s="166">
        <f t="shared" si="27"/>
        <v>1033862.52</v>
      </c>
      <c r="AO136" s="167"/>
      <c r="AP136" s="166">
        <f t="shared" ref="AP136:AR139" si="28">AF136+AI136+AL136</f>
        <v>1988291.9183107961</v>
      </c>
      <c r="AQ136" s="166">
        <f t="shared" si="28"/>
        <v>914921.88831079646</v>
      </c>
      <c r="AR136" s="166">
        <f t="shared" si="28"/>
        <v>1073364.27</v>
      </c>
      <c r="AS136" s="167">
        <f>AQ136/AP136</f>
        <v>0.46015470861446323</v>
      </c>
    </row>
    <row r="137" spans="1:45" s="153" customFormat="1" ht="15" customHeight="1" x14ac:dyDescent="0.2">
      <c r="A137" s="624" t="s">
        <v>10</v>
      </c>
      <c r="B137" s="624"/>
      <c r="C137" s="624"/>
      <c r="D137" s="154"/>
      <c r="E137" s="165"/>
      <c r="F137" s="166">
        <f t="shared" ref="F137:N137" si="29">SUMIF($D$5:$D$132,"E",F$5:F$132)</f>
        <v>175770.75414779875</v>
      </c>
      <c r="G137" s="166">
        <f t="shared" si="29"/>
        <v>161926.55414779874</v>
      </c>
      <c r="H137" s="166">
        <f t="shared" si="29"/>
        <v>13844.2</v>
      </c>
      <c r="I137" s="166">
        <f t="shared" si="29"/>
        <v>215516.38</v>
      </c>
      <c r="J137" s="166">
        <f t="shared" si="29"/>
        <v>213910.14</v>
      </c>
      <c r="K137" s="166">
        <f t="shared" si="29"/>
        <v>1606.24</v>
      </c>
      <c r="L137" s="166">
        <f t="shared" si="29"/>
        <v>472595.35</v>
      </c>
      <c r="M137" s="166">
        <f t="shared" si="29"/>
        <v>25533.7</v>
      </c>
      <c r="N137" s="166">
        <f t="shared" si="29"/>
        <v>447061.65</v>
      </c>
      <c r="O137" s="167"/>
      <c r="P137" s="166">
        <f>SUMIF($D$5:$D$132,"E",P$5:P$132)</f>
        <v>863882.4841477985</v>
      </c>
      <c r="Q137" s="166">
        <f>SUMIF($D$5:$D$132,"E",Q$5:Q$132)</f>
        <v>401370.39414779877</v>
      </c>
      <c r="R137" s="166">
        <f>SUMIF($D$5:$D$132,"E",R$5:R$132)</f>
        <v>462512.09</v>
      </c>
      <c r="S137" s="167">
        <f>Q137/P137</f>
        <v>0.46461226094165115</v>
      </c>
      <c r="U137" s="161">
        <f>(P137*1000)/'App 1 - Services'!F197/52</f>
        <v>11.157918109938198</v>
      </c>
      <c r="V137" s="161">
        <f>(P137*1000)/'App 1 - Services'!G197/52</f>
        <v>26.316362174216035</v>
      </c>
      <c r="W137" s="153" t="s">
        <v>10</v>
      </c>
      <c r="X137" s="168">
        <f>P137/$P$134</f>
        <v>0.21360141498534407</v>
      </c>
      <c r="Y137" s="168"/>
      <c r="AF137" s="166">
        <f t="shared" ref="AF137:AN137" si="30">SUMIF($D$5:$D$132,"E",AF$5:AF$132)</f>
        <v>175871.74414779874</v>
      </c>
      <c r="AG137" s="166">
        <f t="shared" si="30"/>
        <v>162024.55414779874</v>
      </c>
      <c r="AH137" s="166">
        <f t="shared" si="30"/>
        <v>13846.93</v>
      </c>
      <c r="AI137" s="166">
        <f t="shared" si="30"/>
        <v>217677.72</v>
      </c>
      <c r="AJ137" s="166">
        <f t="shared" si="30"/>
        <v>216064.14</v>
      </c>
      <c r="AK137" s="166">
        <f t="shared" si="30"/>
        <v>1611.51</v>
      </c>
      <c r="AL137" s="166">
        <f t="shared" si="30"/>
        <v>503518.45</v>
      </c>
      <c r="AM137" s="166">
        <f t="shared" si="30"/>
        <v>26083.7</v>
      </c>
      <c r="AN137" s="166">
        <f t="shared" si="30"/>
        <v>477434.31</v>
      </c>
      <c r="AO137" s="167"/>
      <c r="AP137" s="166">
        <f t="shared" si="28"/>
        <v>897067.91414779867</v>
      </c>
      <c r="AQ137" s="166">
        <f t="shared" si="28"/>
        <v>404172.39414779877</v>
      </c>
      <c r="AR137" s="166">
        <f t="shared" si="28"/>
        <v>492892.75</v>
      </c>
      <c r="AS137" s="167">
        <f>AQ137/AP137</f>
        <v>0.45054826705261952</v>
      </c>
    </row>
    <row r="138" spans="1:45" s="153" customFormat="1" ht="15" customHeight="1" x14ac:dyDescent="0.2">
      <c r="A138" s="624" t="s">
        <v>11</v>
      </c>
      <c r="B138" s="624"/>
      <c r="C138" s="624"/>
      <c r="D138" s="154"/>
      <c r="E138" s="165"/>
      <c r="F138" s="166">
        <f t="shared" ref="F138:N138" si="31">SUMIF($D$5:$D$132,"R",F$5:F$132)</f>
        <v>116156.70606409617</v>
      </c>
      <c r="G138" s="166">
        <f t="shared" si="31"/>
        <v>108166.56606409616</v>
      </c>
      <c r="H138" s="166">
        <f t="shared" si="31"/>
        <v>7990.1400000000012</v>
      </c>
      <c r="I138" s="166">
        <f t="shared" si="31"/>
        <v>134995.94</v>
      </c>
      <c r="J138" s="166">
        <f t="shared" si="31"/>
        <v>133782.65</v>
      </c>
      <c r="K138" s="166">
        <f t="shared" si="31"/>
        <v>1213.29</v>
      </c>
      <c r="L138" s="166">
        <f t="shared" si="31"/>
        <v>259683.32</v>
      </c>
      <c r="M138" s="166">
        <f t="shared" si="31"/>
        <v>15395.72</v>
      </c>
      <c r="N138" s="166">
        <f t="shared" si="31"/>
        <v>244287.6</v>
      </c>
      <c r="O138" s="167"/>
      <c r="P138" s="166">
        <f>SUMIF($D$5:$D$132,"R",P$5:P$132)</f>
        <v>510835.9660640962</v>
      </c>
      <c r="Q138" s="166">
        <f>SUMIF($D$5:$D$132,"R",Q$5:Q$132)</f>
        <v>257344.9360640962</v>
      </c>
      <c r="R138" s="166">
        <f>SUMIF($D$5:$D$132,"R",R$5:R$132)</f>
        <v>253491.03</v>
      </c>
      <c r="S138" s="167">
        <f>Q138/P138</f>
        <v>0.50377215615199322</v>
      </c>
      <c r="U138" s="161">
        <f>(P138*1000)/'App 1 - Services'!F226/52</f>
        <v>11.911482141638542</v>
      </c>
      <c r="V138" s="161">
        <f>(P138*1000)/'App 1 - Services'!G226/52</f>
        <v>25.902737407333557</v>
      </c>
      <c r="W138" s="153" t="s">
        <v>11</v>
      </c>
      <c r="X138" s="168">
        <f>P138/$P$134</f>
        <v>0.12630801894812815</v>
      </c>
      <c r="Y138" s="168"/>
      <c r="AF138" s="166">
        <f t="shared" ref="AF138:AN138" si="32">SUMIF($D$5:$D$132,"R",AF$5:AF$132)</f>
        <v>116177.70606409617</v>
      </c>
      <c r="AG138" s="166">
        <f t="shared" si="32"/>
        <v>108187.56606409616</v>
      </c>
      <c r="AH138" s="166">
        <f t="shared" si="32"/>
        <v>7990.1400000000012</v>
      </c>
      <c r="AI138" s="166">
        <f t="shared" si="32"/>
        <v>136506.44999999998</v>
      </c>
      <c r="AJ138" s="166">
        <f t="shared" si="32"/>
        <v>135290.65</v>
      </c>
      <c r="AK138" s="166">
        <f t="shared" si="32"/>
        <v>1213.29</v>
      </c>
      <c r="AL138" s="166">
        <f t="shared" si="32"/>
        <v>270534.69</v>
      </c>
      <c r="AM138" s="166">
        <f t="shared" si="32"/>
        <v>17580.72</v>
      </c>
      <c r="AN138" s="166">
        <f t="shared" si="32"/>
        <v>252953.97000000003</v>
      </c>
      <c r="AO138" s="167"/>
      <c r="AP138" s="166">
        <f t="shared" si="28"/>
        <v>523218.84606409614</v>
      </c>
      <c r="AQ138" s="166">
        <f t="shared" si="28"/>
        <v>261058.93606409614</v>
      </c>
      <c r="AR138" s="166">
        <f t="shared" si="28"/>
        <v>262157.40000000002</v>
      </c>
      <c r="AS138" s="167">
        <f>AQ138/AP138</f>
        <v>0.49894788390729239</v>
      </c>
    </row>
    <row r="139" spans="1:45" s="153" customFormat="1" ht="15" customHeight="1" x14ac:dyDescent="0.2">
      <c r="A139" s="624" t="s">
        <v>12</v>
      </c>
      <c r="B139" s="624"/>
      <c r="C139" s="624"/>
      <c r="D139" s="154"/>
      <c r="E139" s="165"/>
      <c r="F139" s="166">
        <f t="shared" ref="F139:N139" si="33">SUMIF($D$5:$D$132,"N",F$5:F$132)</f>
        <v>154937.66209512227</v>
      </c>
      <c r="G139" s="166">
        <f t="shared" si="33"/>
        <v>143386.48209512228</v>
      </c>
      <c r="H139" s="166">
        <f t="shared" si="33"/>
        <v>11551.18</v>
      </c>
      <c r="I139" s="166">
        <f t="shared" si="33"/>
        <v>165715.73000000001</v>
      </c>
      <c r="J139" s="166">
        <f t="shared" si="33"/>
        <v>155607.78999999998</v>
      </c>
      <c r="K139" s="166">
        <f t="shared" si="33"/>
        <v>10107.759999999998</v>
      </c>
      <c r="L139" s="166">
        <f t="shared" si="33"/>
        <v>390281.37000000005</v>
      </c>
      <c r="M139" s="166">
        <f t="shared" si="33"/>
        <v>7184.6300000000019</v>
      </c>
      <c r="N139" s="166">
        <f t="shared" si="33"/>
        <v>383096.74000000005</v>
      </c>
      <c r="O139" s="167"/>
      <c r="P139" s="166">
        <f>SUMIF($D$5:$D$132,"N",P$5:P$132)</f>
        <v>710934.76209512237</v>
      </c>
      <c r="Q139" s="166">
        <f>SUMIF($D$5:$D$132,"N",Q$5:Q$132)</f>
        <v>306178.9020951222</v>
      </c>
      <c r="R139" s="166">
        <f>SUMIF($D$5:$D$132,"N",R$5:R$132)</f>
        <v>404755.67999999993</v>
      </c>
      <c r="S139" s="167">
        <f>Q139/P139</f>
        <v>0.43067088348980714</v>
      </c>
      <c r="U139" s="161">
        <f>(P139*1000)/'App 1 - Services'!F303/52</f>
        <v>13.240833226461792</v>
      </c>
      <c r="V139" s="161">
        <f>(P139*1000)/'App 1 - Services'!G303/52</f>
        <v>26.132207806473733</v>
      </c>
      <c r="W139" s="153" t="s">
        <v>12</v>
      </c>
      <c r="X139" s="168">
        <f>P139/$P$134</f>
        <v>0.1757839450762686</v>
      </c>
      <c r="Z139" s="169"/>
      <c r="AF139" s="166">
        <f t="shared" ref="AF139:AN139" si="34">SUMIF($D$5:$D$132,"N",AF$5:AF$132)</f>
        <v>159387.19209512227</v>
      </c>
      <c r="AG139" s="166">
        <f t="shared" si="34"/>
        <v>147834.48209512228</v>
      </c>
      <c r="AH139" s="166">
        <f t="shared" si="34"/>
        <v>11551.68</v>
      </c>
      <c r="AI139" s="166">
        <f t="shared" si="34"/>
        <v>173683.89000000004</v>
      </c>
      <c r="AJ139" s="166">
        <f t="shared" si="34"/>
        <v>161678.78999999998</v>
      </c>
      <c r="AK139" s="166">
        <f t="shared" si="34"/>
        <v>12002.06</v>
      </c>
      <c r="AL139" s="166">
        <f t="shared" si="34"/>
        <v>441976.93000000011</v>
      </c>
      <c r="AM139" s="166">
        <f t="shared" si="34"/>
        <v>10255.630000000001</v>
      </c>
      <c r="AN139" s="166">
        <f t="shared" si="34"/>
        <v>431719.44000000006</v>
      </c>
      <c r="AO139" s="167"/>
      <c r="AP139" s="166">
        <f t="shared" si="28"/>
        <v>775048.01209512237</v>
      </c>
      <c r="AQ139" s="166">
        <f t="shared" si="28"/>
        <v>319768.90209512226</v>
      </c>
      <c r="AR139" s="166">
        <f t="shared" si="28"/>
        <v>455273.18000000005</v>
      </c>
      <c r="AS139" s="167">
        <f>AQ139/AP139</f>
        <v>0.41257947521304877</v>
      </c>
    </row>
    <row r="140" spans="1:45" s="153" customFormat="1" ht="15" customHeight="1" x14ac:dyDescent="0.2">
      <c r="A140" s="112"/>
      <c r="B140" s="112"/>
      <c r="C140" s="112"/>
      <c r="D140" s="154"/>
      <c r="E140" s="165"/>
      <c r="F140" s="170"/>
      <c r="G140" s="170"/>
      <c r="H140" s="170"/>
      <c r="I140" s="170"/>
      <c r="J140" s="170"/>
      <c r="K140" s="170"/>
      <c r="L140" s="170"/>
      <c r="M140" s="170"/>
      <c r="N140" s="170"/>
      <c r="O140" s="171"/>
      <c r="P140" s="170"/>
      <c r="Q140" s="170"/>
      <c r="R140" s="170"/>
      <c r="S140" s="167"/>
      <c r="U140" s="161"/>
      <c r="V140" s="161"/>
      <c r="X140" s="168"/>
      <c r="Z140" s="169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1"/>
      <c r="AP140" s="170"/>
      <c r="AQ140" s="170"/>
      <c r="AR140" s="170"/>
      <c r="AS140" s="171"/>
    </row>
    <row r="141" spans="1:45" s="153" customFormat="1" ht="15" customHeight="1" x14ac:dyDescent="0.2">
      <c r="A141" s="628" t="s">
        <v>8</v>
      </c>
      <c r="B141" s="629"/>
      <c r="C141" s="630"/>
      <c r="D141" s="154"/>
      <c r="F141" s="159">
        <v>796460.84022253216</v>
      </c>
      <c r="G141" s="159">
        <v>738669.15022253233</v>
      </c>
      <c r="H141" s="159">
        <v>57791.69000000001</v>
      </c>
      <c r="I141" s="159">
        <v>765184.12000000011</v>
      </c>
      <c r="J141" s="159">
        <v>746490.01999999979</v>
      </c>
      <c r="K141" s="159">
        <v>17387.29</v>
      </c>
      <c r="L141" s="159">
        <v>2240830.3700000006</v>
      </c>
      <c r="M141" s="159">
        <v>176651.49000000008</v>
      </c>
      <c r="N141" s="159">
        <v>2062741.3399999996</v>
      </c>
      <c r="O141" s="159"/>
      <c r="P141" s="159">
        <v>3802475.3302225336</v>
      </c>
      <c r="Q141" s="159">
        <v>1661810.6602225318</v>
      </c>
      <c r="R141" s="159">
        <v>2137920.3200000003</v>
      </c>
      <c r="S141" s="160">
        <v>0.43703390973092177</v>
      </c>
      <c r="U141" s="161">
        <v>9.0402293224293437</v>
      </c>
      <c r="V141" s="161">
        <v>21.880311326669876</v>
      </c>
      <c r="Z141" s="172"/>
      <c r="AF141" s="159">
        <f>SUM(AF12:AF139)</f>
        <v>2447952.1358326129</v>
      </c>
      <c r="AG141" s="159">
        <f t="shared" ref="AG141:AN141" si="35">SUM(AG12:AG139)</f>
        <v>2245109.295832613</v>
      </c>
      <c r="AH141" s="159">
        <f t="shared" si="35"/>
        <v>202837.91999999998</v>
      </c>
      <c r="AI141" s="159">
        <f t="shared" si="35"/>
        <v>2602936.8800000004</v>
      </c>
      <c r="AJ141" s="159">
        <f t="shared" si="35"/>
        <v>2546432.2300000004</v>
      </c>
      <c r="AK141" s="159">
        <f t="shared" si="35"/>
        <v>56470.609999999993</v>
      </c>
      <c r="AL141" s="159">
        <f t="shared" si="35"/>
        <v>7241962.7200000016</v>
      </c>
      <c r="AM141" s="159">
        <f t="shared" si="35"/>
        <v>781058.41</v>
      </c>
      <c r="AN141" s="159">
        <f t="shared" si="35"/>
        <v>6460893.4799999995</v>
      </c>
      <c r="AO141" s="159"/>
      <c r="AP141" s="159">
        <f>SUM(AP12:AP139)</f>
        <v>12292851.735832609</v>
      </c>
      <c r="AQ141" s="159">
        <f>SUM(AQ12:AQ139)</f>
        <v>5572599.9358326122</v>
      </c>
      <c r="AR141" s="159">
        <f>SUM(AR12:AR139)</f>
        <v>6720202.0100000016</v>
      </c>
      <c r="AS141" s="160">
        <f>AQ141/AP141</f>
        <v>0.45332035686959121</v>
      </c>
    </row>
    <row r="142" spans="1:45" s="153" customFormat="1" ht="11.25" x14ac:dyDescent="0.2">
      <c r="B142" s="153" t="s">
        <v>569</v>
      </c>
      <c r="D142" s="154"/>
      <c r="F142" s="156"/>
      <c r="G142" s="164"/>
      <c r="H142" s="164"/>
      <c r="I142" s="164"/>
      <c r="J142" s="164"/>
      <c r="K142" s="164"/>
      <c r="L142" s="164"/>
      <c r="M142" s="164"/>
      <c r="N142" s="164"/>
      <c r="O142" s="164"/>
      <c r="P142" s="156"/>
      <c r="Q142" s="164"/>
      <c r="R142" s="156"/>
      <c r="S142" s="164"/>
      <c r="W142" s="163"/>
      <c r="AF142" s="156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56"/>
      <c r="AQ142" s="164"/>
      <c r="AR142" s="156"/>
      <c r="AS142" s="164"/>
    </row>
    <row r="143" spans="1:45" s="153" customFormat="1" ht="15" customHeight="1" x14ac:dyDescent="0.2">
      <c r="A143" s="624" t="s">
        <v>9</v>
      </c>
      <c r="B143" s="624"/>
      <c r="C143" s="624"/>
      <c r="D143" s="154"/>
      <c r="E143" s="165"/>
      <c r="F143" s="166">
        <v>378832.27394672483</v>
      </c>
      <c r="G143" s="166">
        <v>345635.93394672481</v>
      </c>
      <c r="H143" s="166">
        <v>33196.339999999997</v>
      </c>
      <c r="I143" s="166">
        <v>321653.65000000002</v>
      </c>
      <c r="J143" s="166">
        <v>317678.55999999994</v>
      </c>
      <c r="K143" s="166">
        <v>3975.0899999999997</v>
      </c>
      <c r="L143" s="166">
        <v>1224981.0799999998</v>
      </c>
      <c r="M143" s="166">
        <v>128944.52</v>
      </c>
      <c r="N143" s="166">
        <v>1096036.56</v>
      </c>
      <c r="O143" s="167"/>
      <c r="P143" s="166">
        <v>1925467.0039467246</v>
      </c>
      <c r="Q143" s="166">
        <v>792259.01394672506</v>
      </c>
      <c r="R143" s="166">
        <v>1133207.99</v>
      </c>
      <c r="S143" s="167">
        <v>0.41146330335590936</v>
      </c>
      <c r="U143" s="161">
        <v>7.7650475486618307</v>
      </c>
      <c r="V143" s="161">
        <v>20.422721451820674</v>
      </c>
      <c r="W143" s="153" t="s">
        <v>9</v>
      </c>
      <c r="X143" s="168">
        <v>0.50637199106668229</v>
      </c>
      <c r="AF143" s="166">
        <f t="shared" ref="AF143:AN143" si="36">SUMIF($D$5:$D$132,"S",AF$5:AF$132)</f>
        <v>381094.86831079639</v>
      </c>
      <c r="AG143" s="166">
        <f t="shared" si="36"/>
        <v>345743.72831079649</v>
      </c>
      <c r="AH143" s="166">
        <f t="shared" si="36"/>
        <v>35350.789999999994</v>
      </c>
      <c r="AI143" s="166">
        <f t="shared" si="36"/>
        <v>359275.55</v>
      </c>
      <c r="AJ143" s="166">
        <f t="shared" si="36"/>
        <v>355120.48999999993</v>
      </c>
      <c r="AK143" s="166">
        <f t="shared" si="36"/>
        <v>4150.96</v>
      </c>
      <c r="AL143" s="166">
        <f t="shared" si="36"/>
        <v>1247921.4999999998</v>
      </c>
      <c r="AM143" s="166">
        <f t="shared" si="36"/>
        <v>214057.67</v>
      </c>
      <c r="AN143" s="166">
        <f t="shared" si="36"/>
        <v>1033862.52</v>
      </c>
      <c r="AO143" s="167"/>
      <c r="AP143" s="166">
        <f t="shared" ref="AP143:AR146" si="37">AF143+AI143+AL143</f>
        <v>1988291.9183107961</v>
      </c>
      <c r="AQ143" s="166">
        <f t="shared" si="37"/>
        <v>914921.88831079646</v>
      </c>
      <c r="AR143" s="166">
        <f t="shared" si="37"/>
        <v>1073364.27</v>
      </c>
      <c r="AS143" s="167">
        <f>AQ143/AP143</f>
        <v>0.46015470861446323</v>
      </c>
    </row>
    <row r="144" spans="1:45" s="153" customFormat="1" ht="15" customHeight="1" x14ac:dyDescent="0.2">
      <c r="A144" s="624" t="s">
        <v>10</v>
      </c>
      <c r="B144" s="624"/>
      <c r="C144" s="624"/>
      <c r="D144" s="154"/>
      <c r="E144" s="165"/>
      <c r="F144" s="166">
        <v>172154.91406446381</v>
      </c>
      <c r="G144" s="166">
        <v>161874.73406446379</v>
      </c>
      <c r="H144" s="166">
        <v>10280.18</v>
      </c>
      <c r="I144" s="166">
        <v>182221.30000000002</v>
      </c>
      <c r="J144" s="166">
        <v>180918.51</v>
      </c>
      <c r="K144" s="166">
        <v>1302.79</v>
      </c>
      <c r="L144" s="166">
        <v>442932.85000000003</v>
      </c>
      <c r="M144" s="166">
        <v>15371.759999999998</v>
      </c>
      <c r="N144" s="166">
        <v>426123.09</v>
      </c>
      <c r="O144" s="167"/>
      <c r="P144" s="166">
        <v>797309.06406446372</v>
      </c>
      <c r="Q144" s="166">
        <v>358165.00406446378</v>
      </c>
      <c r="R144" s="166">
        <v>437706.06</v>
      </c>
      <c r="S144" s="167">
        <v>0.44921727371144693</v>
      </c>
      <c r="U144" s="161">
        <v>10.410104955128345</v>
      </c>
      <c r="V144" s="161">
        <v>24.519326534808858</v>
      </c>
      <c r="W144" s="153" t="s">
        <v>10</v>
      </c>
      <c r="X144" s="168">
        <v>0.20968158760356836</v>
      </c>
      <c r="Y144" s="168"/>
      <c r="AF144" s="166">
        <f t="shared" ref="AF144:AN144" si="38">SUMIF($D$5:$D$132,"E",AF$5:AF$132)</f>
        <v>175871.74414779874</v>
      </c>
      <c r="AG144" s="166">
        <f t="shared" si="38"/>
        <v>162024.55414779874</v>
      </c>
      <c r="AH144" s="166">
        <f t="shared" si="38"/>
        <v>13846.93</v>
      </c>
      <c r="AI144" s="166">
        <f t="shared" si="38"/>
        <v>217677.72</v>
      </c>
      <c r="AJ144" s="166">
        <f t="shared" si="38"/>
        <v>216064.14</v>
      </c>
      <c r="AK144" s="166">
        <f t="shared" si="38"/>
        <v>1611.51</v>
      </c>
      <c r="AL144" s="166">
        <f t="shared" si="38"/>
        <v>503518.45</v>
      </c>
      <c r="AM144" s="166">
        <f t="shared" si="38"/>
        <v>26083.7</v>
      </c>
      <c r="AN144" s="166">
        <f t="shared" si="38"/>
        <v>477434.31</v>
      </c>
      <c r="AO144" s="167"/>
      <c r="AP144" s="166">
        <f t="shared" si="37"/>
        <v>897067.91414779867</v>
      </c>
      <c r="AQ144" s="166">
        <f t="shared" si="37"/>
        <v>404172.39414779877</v>
      </c>
      <c r="AR144" s="166">
        <f t="shared" si="37"/>
        <v>492892.75</v>
      </c>
      <c r="AS144" s="167">
        <f>AQ144/AP144</f>
        <v>0.45054826705261952</v>
      </c>
    </row>
    <row r="145" spans="1:45" s="153" customFormat="1" ht="15" customHeight="1" x14ac:dyDescent="0.2">
      <c r="A145" s="624" t="s">
        <v>11</v>
      </c>
      <c r="B145" s="624"/>
      <c r="C145" s="624"/>
      <c r="D145" s="154"/>
      <c r="E145" s="165"/>
      <c r="F145" s="166">
        <v>116037.17380045686</v>
      </c>
      <c r="G145" s="166">
        <v>108811.48380045687</v>
      </c>
      <c r="H145" s="166">
        <v>7225.69</v>
      </c>
      <c r="I145" s="166">
        <v>133321.39000000001</v>
      </c>
      <c r="J145" s="166">
        <v>126482.05</v>
      </c>
      <c r="K145" s="166">
        <v>5532.53</v>
      </c>
      <c r="L145" s="166">
        <v>237689.18</v>
      </c>
      <c r="M145" s="166">
        <v>16901.66</v>
      </c>
      <c r="N145" s="166">
        <v>220787.51999999996</v>
      </c>
      <c r="O145" s="167"/>
      <c r="P145" s="166">
        <v>487047.74380045675</v>
      </c>
      <c r="Q145" s="166">
        <v>252195.19380045688</v>
      </c>
      <c r="R145" s="166">
        <v>233545.73999999993</v>
      </c>
      <c r="S145" s="167">
        <v>0.51780384369007804</v>
      </c>
      <c r="U145" s="161">
        <v>11.447211149845824</v>
      </c>
      <c r="V145" s="161">
        <v>24.465702537897361</v>
      </c>
      <c r="W145" s="153" t="s">
        <v>11</v>
      </c>
      <c r="X145" s="168">
        <v>0.12808702266372182</v>
      </c>
      <c r="Y145" s="168"/>
      <c r="AF145" s="166">
        <f t="shared" ref="AF145:AN145" si="39">SUMIF($D$5:$D$132,"R",AF$5:AF$132)</f>
        <v>116177.70606409617</v>
      </c>
      <c r="AG145" s="166">
        <f t="shared" si="39"/>
        <v>108187.56606409616</v>
      </c>
      <c r="AH145" s="166">
        <f t="shared" si="39"/>
        <v>7990.1400000000012</v>
      </c>
      <c r="AI145" s="166">
        <f t="shared" si="39"/>
        <v>136506.44999999998</v>
      </c>
      <c r="AJ145" s="166">
        <f t="shared" si="39"/>
        <v>135290.65</v>
      </c>
      <c r="AK145" s="166">
        <f t="shared" si="39"/>
        <v>1213.29</v>
      </c>
      <c r="AL145" s="166">
        <f t="shared" si="39"/>
        <v>270534.69</v>
      </c>
      <c r="AM145" s="166">
        <f t="shared" si="39"/>
        <v>17580.72</v>
      </c>
      <c r="AN145" s="166">
        <f t="shared" si="39"/>
        <v>252953.97000000003</v>
      </c>
      <c r="AO145" s="167"/>
      <c r="AP145" s="166">
        <f t="shared" si="37"/>
        <v>523218.84606409614</v>
      </c>
      <c r="AQ145" s="166">
        <f t="shared" si="37"/>
        <v>261058.93606409614</v>
      </c>
      <c r="AR145" s="166">
        <f t="shared" si="37"/>
        <v>262157.40000000002</v>
      </c>
      <c r="AS145" s="167">
        <f>AQ145/AP145</f>
        <v>0.49894788390729239</v>
      </c>
    </row>
    <row r="146" spans="1:45" s="153" customFormat="1" ht="15" customHeight="1" x14ac:dyDescent="0.2">
      <c r="A146" s="624" t="s">
        <v>12</v>
      </c>
      <c r="B146" s="624"/>
      <c r="C146" s="624"/>
      <c r="D146" s="154"/>
      <c r="E146" s="165"/>
      <c r="F146" s="166">
        <v>129436.47841088666</v>
      </c>
      <c r="G146" s="166">
        <v>122346.99841088668</v>
      </c>
      <c r="H146" s="166">
        <v>7089.4800000000014</v>
      </c>
      <c r="I146" s="166">
        <v>127987.78000000003</v>
      </c>
      <c r="J146" s="166">
        <v>121410.90000000001</v>
      </c>
      <c r="K146" s="166">
        <v>6576.88</v>
      </c>
      <c r="L146" s="166">
        <v>335227.25999999983</v>
      </c>
      <c r="M146" s="166">
        <v>15433.55</v>
      </c>
      <c r="N146" s="166">
        <v>319794.16999999993</v>
      </c>
      <c r="O146" s="167"/>
      <c r="P146" s="166">
        <v>592651.51841088641</v>
      </c>
      <c r="Q146" s="166">
        <v>259191.44841088669</v>
      </c>
      <c r="R146" s="166">
        <v>333460.53000000009</v>
      </c>
      <c r="S146" s="167">
        <v>0.43734208106961903</v>
      </c>
      <c r="U146" s="161">
        <v>11.074693800139867</v>
      </c>
      <c r="V146" s="161">
        <v>21.885473017139734</v>
      </c>
      <c r="W146" s="153" t="s">
        <v>12</v>
      </c>
      <c r="X146" s="168">
        <v>0.15585939866602697</v>
      </c>
      <c r="Z146" s="169"/>
      <c r="AF146" s="166">
        <f t="shared" ref="AF146:AN146" si="40">SUMIF($D$5:$D$132,"N",AF$5:AF$132)</f>
        <v>159387.19209512227</v>
      </c>
      <c r="AG146" s="166">
        <f t="shared" si="40"/>
        <v>147834.48209512228</v>
      </c>
      <c r="AH146" s="166">
        <f t="shared" si="40"/>
        <v>11551.68</v>
      </c>
      <c r="AI146" s="166">
        <f t="shared" si="40"/>
        <v>173683.89000000004</v>
      </c>
      <c r="AJ146" s="166">
        <f t="shared" si="40"/>
        <v>161678.78999999998</v>
      </c>
      <c r="AK146" s="166">
        <f t="shared" si="40"/>
        <v>12002.06</v>
      </c>
      <c r="AL146" s="166">
        <f t="shared" si="40"/>
        <v>441976.93000000011</v>
      </c>
      <c r="AM146" s="166">
        <f t="shared" si="40"/>
        <v>10255.630000000001</v>
      </c>
      <c r="AN146" s="166">
        <f t="shared" si="40"/>
        <v>431719.44000000006</v>
      </c>
      <c r="AO146" s="167"/>
      <c r="AP146" s="166">
        <f t="shared" si="37"/>
        <v>775048.01209512237</v>
      </c>
      <c r="AQ146" s="166">
        <f t="shared" si="37"/>
        <v>319768.90209512226</v>
      </c>
      <c r="AR146" s="166">
        <f t="shared" si="37"/>
        <v>455273.18000000005</v>
      </c>
      <c r="AS146" s="167">
        <f>AQ146/AP146</f>
        <v>0.41257947521304877</v>
      </c>
    </row>
    <row r="147" spans="1:45" s="153" customFormat="1" ht="15" customHeight="1" x14ac:dyDescent="0.2">
      <c r="A147" s="112"/>
      <c r="B147" s="112"/>
      <c r="C147" s="112"/>
      <c r="D147" s="154"/>
      <c r="E147" s="165"/>
      <c r="F147" s="170"/>
      <c r="G147" s="170"/>
      <c r="H147" s="170"/>
      <c r="I147" s="170"/>
      <c r="J147" s="170"/>
      <c r="K147" s="170"/>
      <c r="L147" s="170"/>
      <c r="M147" s="170"/>
      <c r="N147" s="170"/>
      <c r="O147" s="171"/>
      <c r="P147" s="170"/>
      <c r="Q147" s="170"/>
      <c r="R147" s="170"/>
      <c r="S147" s="167"/>
      <c r="U147" s="161"/>
      <c r="V147" s="161"/>
      <c r="Z147" s="172"/>
    </row>
    <row r="148" spans="1:45" s="153" customFormat="1" ht="15" customHeight="1" x14ac:dyDescent="0.2">
      <c r="A148" s="628" t="s">
        <v>8</v>
      </c>
      <c r="B148" s="629"/>
      <c r="C148" s="630"/>
      <c r="D148" s="154"/>
      <c r="F148" s="159">
        <v>797119.60784433736</v>
      </c>
      <c r="G148" s="159">
        <v>732011.80784433754</v>
      </c>
      <c r="H148" s="159">
        <v>65107.800000000017</v>
      </c>
      <c r="I148" s="159">
        <v>778877.74999999988</v>
      </c>
      <c r="J148" s="159">
        <v>759561.57000000007</v>
      </c>
      <c r="K148" s="159">
        <v>19310.920000000002</v>
      </c>
      <c r="L148" s="159">
        <v>2080441.0799999998</v>
      </c>
      <c r="M148" s="159">
        <v>227807.71</v>
      </c>
      <c r="N148" s="159">
        <v>1852633.3700000003</v>
      </c>
      <c r="O148" s="159"/>
      <c r="P148" s="159">
        <v>3656438.4378443374</v>
      </c>
      <c r="Q148" s="159">
        <v>1719381.0878443383</v>
      </c>
      <c r="R148" s="159">
        <v>1937052.090000001</v>
      </c>
      <c r="S148" s="160">
        <v>0.47023384013488378</v>
      </c>
      <c r="U148" s="161">
        <v>8.8036442241115207</v>
      </c>
      <c r="V148" s="161">
        <v>21.752464163747298</v>
      </c>
      <c r="AI148" s="172">
        <f>'[2]App 3-Recycling Rate'!U172</f>
        <v>0</v>
      </c>
    </row>
    <row r="149" spans="1:45" s="153" customFormat="1" ht="11.25" x14ac:dyDescent="0.2">
      <c r="B149" s="153" t="s">
        <v>570</v>
      </c>
      <c r="D149" s="154"/>
      <c r="F149" s="156"/>
      <c r="G149" s="164"/>
      <c r="H149" s="164"/>
      <c r="I149" s="164"/>
      <c r="J149" s="164"/>
      <c r="K149" s="164"/>
      <c r="L149" s="164"/>
      <c r="M149" s="164"/>
      <c r="N149" s="164"/>
      <c r="O149" s="164"/>
      <c r="P149" s="156"/>
      <c r="Q149" s="164"/>
      <c r="R149" s="156"/>
      <c r="S149" s="164"/>
      <c r="W149" s="163"/>
    </row>
    <row r="150" spans="1:45" s="153" customFormat="1" ht="15" customHeight="1" x14ac:dyDescent="0.2">
      <c r="A150" s="624" t="s">
        <v>9</v>
      </c>
      <c r="B150" s="624"/>
      <c r="C150" s="624"/>
      <c r="D150" s="154"/>
      <c r="E150" s="165"/>
      <c r="F150" s="166">
        <v>380808.94754379877</v>
      </c>
      <c r="G150" s="166">
        <v>341219.97754379874</v>
      </c>
      <c r="H150" s="166">
        <v>39588.969999999994</v>
      </c>
      <c r="I150" s="166">
        <v>332542.29000000004</v>
      </c>
      <c r="J150" s="166">
        <v>325713.69</v>
      </c>
      <c r="K150" s="166">
        <v>6827.98</v>
      </c>
      <c r="L150" s="166">
        <v>1126698.0999999999</v>
      </c>
      <c r="M150" s="166">
        <v>179734.05000000002</v>
      </c>
      <c r="N150" s="166">
        <v>946964.04999999993</v>
      </c>
      <c r="O150" s="167"/>
      <c r="P150" s="166">
        <v>1840049.3375437993</v>
      </c>
      <c r="Q150" s="166">
        <v>846667.7175437985</v>
      </c>
      <c r="R150" s="166">
        <v>993381.00000000023</v>
      </c>
      <c r="S150" s="167">
        <v>0.46013316070860244</v>
      </c>
      <c r="U150" s="161">
        <v>7.5454482456893128</v>
      </c>
      <c r="V150" s="161">
        <v>20.417096533525164</v>
      </c>
      <c r="W150" s="153" t="s">
        <v>9</v>
      </c>
      <c r="X150" s="168">
        <v>0.50323542125014009</v>
      </c>
    </row>
    <row r="151" spans="1:45" s="153" customFormat="1" ht="15" customHeight="1" x14ac:dyDescent="0.2">
      <c r="A151" s="624" t="s">
        <v>10</v>
      </c>
      <c r="B151" s="624"/>
      <c r="C151" s="624"/>
      <c r="D151" s="154"/>
      <c r="E151" s="165"/>
      <c r="F151" s="166">
        <v>173477.81545757598</v>
      </c>
      <c r="G151" s="166">
        <v>164952.59545757601</v>
      </c>
      <c r="H151" s="166">
        <v>8525.2200000000012</v>
      </c>
      <c r="I151" s="166">
        <v>193491.59</v>
      </c>
      <c r="J151" s="166">
        <v>191933.47000000003</v>
      </c>
      <c r="K151" s="166">
        <v>1558.1200000000001</v>
      </c>
      <c r="L151" s="166">
        <v>443772.80000000005</v>
      </c>
      <c r="M151" s="166">
        <v>26841.4</v>
      </c>
      <c r="N151" s="166">
        <v>416931.39999999997</v>
      </c>
      <c r="O151" s="167"/>
      <c r="P151" s="166">
        <v>810742.20545757597</v>
      </c>
      <c r="Q151" s="166">
        <v>383727.46545757604</v>
      </c>
      <c r="R151" s="166">
        <v>427014.74</v>
      </c>
      <c r="S151" s="167">
        <v>0.47330392185639769</v>
      </c>
      <c r="U151" s="161">
        <v>10.683819030950916</v>
      </c>
      <c r="V151" s="161">
        <v>25.839977226102402</v>
      </c>
      <c r="W151" s="153" t="s">
        <v>10</v>
      </c>
      <c r="X151" s="168">
        <v>0.22173003025740837</v>
      </c>
      <c r="Y151" s="168"/>
    </row>
    <row r="152" spans="1:45" s="153" customFormat="1" ht="15" customHeight="1" x14ac:dyDescent="0.2">
      <c r="A152" s="624" t="s">
        <v>11</v>
      </c>
      <c r="B152" s="624"/>
      <c r="C152" s="624"/>
      <c r="D152" s="154"/>
      <c r="E152" s="165"/>
      <c r="F152" s="166">
        <v>123529.86061449163</v>
      </c>
      <c r="G152" s="166">
        <v>116162.95061449165</v>
      </c>
      <c r="H152" s="166">
        <v>7366.9100000000008</v>
      </c>
      <c r="I152" s="166">
        <v>129991.03999999999</v>
      </c>
      <c r="J152" s="166">
        <v>127371.73999999999</v>
      </c>
      <c r="K152" s="166">
        <v>2618.36</v>
      </c>
      <c r="L152" s="166">
        <v>202590.31999999995</v>
      </c>
      <c r="M152" s="166">
        <v>15440.43</v>
      </c>
      <c r="N152" s="166">
        <v>187149.88999999998</v>
      </c>
      <c r="O152" s="167"/>
      <c r="P152" s="166">
        <v>456111.22061449167</v>
      </c>
      <c r="Q152" s="166">
        <v>258975.12061449167</v>
      </c>
      <c r="R152" s="166">
        <v>197135.15999999997</v>
      </c>
      <c r="S152" s="167">
        <v>0.56778940949005774</v>
      </c>
      <c r="U152" s="161">
        <v>10.790471947556608</v>
      </c>
      <c r="V152" s="161">
        <v>22.973668552994262</v>
      </c>
      <c r="W152" s="153" t="s">
        <v>11</v>
      </c>
      <c r="X152" s="168">
        <v>0.12474193901194004</v>
      </c>
      <c r="Y152" s="168"/>
    </row>
    <row r="153" spans="1:45" s="153" customFormat="1" ht="15" customHeight="1" x14ac:dyDescent="0.2">
      <c r="A153" s="624" t="s">
        <v>12</v>
      </c>
      <c r="B153" s="624"/>
      <c r="C153" s="624"/>
      <c r="D153" s="154"/>
      <c r="E153" s="165"/>
      <c r="F153" s="166">
        <v>119302.9842284714</v>
      </c>
      <c r="G153" s="166">
        <v>109676.28422847141</v>
      </c>
      <c r="H153" s="166">
        <v>9626.7000000000025</v>
      </c>
      <c r="I153" s="166">
        <v>122852.83000000003</v>
      </c>
      <c r="J153" s="166">
        <v>114542.66999999998</v>
      </c>
      <c r="K153" s="166">
        <v>8306.4599999999991</v>
      </c>
      <c r="L153" s="166">
        <v>307379.86</v>
      </c>
      <c r="M153" s="166">
        <v>5791.8300000000008</v>
      </c>
      <c r="N153" s="166">
        <v>301588.02999999997</v>
      </c>
      <c r="O153" s="167"/>
      <c r="P153" s="166">
        <v>549535.67422847147</v>
      </c>
      <c r="Q153" s="166">
        <v>230010.78422847152</v>
      </c>
      <c r="R153" s="166">
        <v>319521.19</v>
      </c>
      <c r="S153" s="167">
        <v>0.41855478181903016</v>
      </c>
      <c r="U153" s="161">
        <v>10.307271307441191</v>
      </c>
      <c r="V153" s="161">
        <v>20.5503437734695</v>
      </c>
      <c r="W153" s="153" t="s">
        <v>12</v>
      </c>
      <c r="X153" s="168">
        <v>0.15029260948051176</v>
      </c>
    </row>
    <row r="154" spans="1:45" s="153" customFormat="1" ht="15" customHeight="1" x14ac:dyDescent="0.2">
      <c r="A154" s="112"/>
      <c r="B154" s="112"/>
      <c r="C154" s="112"/>
      <c r="D154" s="154"/>
      <c r="E154" s="165"/>
      <c r="F154" s="170"/>
      <c r="G154" s="170"/>
      <c r="H154" s="170"/>
      <c r="I154" s="170"/>
      <c r="J154" s="170"/>
      <c r="K154" s="170"/>
      <c r="L154" s="170"/>
      <c r="M154" s="170"/>
      <c r="N154" s="170"/>
      <c r="O154" s="171"/>
      <c r="P154" s="170"/>
      <c r="Q154" s="170"/>
      <c r="R154" s="170"/>
      <c r="S154" s="167"/>
      <c r="U154" s="161"/>
      <c r="V154" s="161"/>
    </row>
    <row r="155" spans="1:45" s="153" customFormat="1" ht="15" customHeight="1" x14ac:dyDescent="0.2">
      <c r="A155" s="631" t="s">
        <v>8</v>
      </c>
      <c r="B155" s="632"/>
      <c r="C155" s="633"/>
      <c r="D155" s="173"/>
      <c r="E155" s="174"/>
      <c r="F155" s="175">
        <v>782031.89527726988</v>
      </c>
      <c r="G155" s="175">
        <v>720045.88527726964</v>
      </c>
      <c r="H155" s="175">
        <v>61986.01</v>
      </c>
      <c r="I155" s="175">
        <v>692488.29999999993</v>
      </c>
      <c r="J155" s="175">
        <v>667499.17999999993</v>
      </c>
      <c r="K155" s="175">
        <v>24981.379999999994</v>
      </c>
      <c r="L155" s="175">
        <v>2108030.7299999995</v>
      </c>
      <c r="M155" s="175">
        <v>311446.9599999999</v>
      </c>
      <c r="N155" s="175">
        <v>1796583.7699999998</v>
      </c>
      <c r="O155" s="175"/>
      <c r="P155" s="175">
        <v>3582550.9252772708</v>
      </c>
      <c r="Q155" s="175">
        <v>1698992.02527727</v>
      </c>
      <c r="R155" s="175">
        <v>1883551.1600000004</v>
      </c>
      <c r="S155" s="176">
        <v>0.47424085818006251</v>
      </c>
      <c r="T155" s="174"/>
      <c r="U155" s="177">
        <v>8.764636000794594</v>
      </c>
      <c r="V155" s="177">
        <v>22.310733407541157</v>
      </c>
    </row>
    <row r="156" spans="1:45" s="153" customFormat="1" ht="15" customHeight="1" x14ac:dyDescent="0.2">
      <c r="A156" s="174"/>
      <c r="B156" s="174" t="s">
        <v>571</v>
      </c>
      <c r="C156" s="174"/>
      <c r="D156" s="173"/>
      <c r="E156" s="174"/>
      <c r="F156" s="178"/>
      <c r="G156" s="179"/>
      <c r="H156" s="179"/>
      <c r="I156" s="179"/>
      <c r="J156" s="179"/>
      <c r="K156" s="179"/>
      <c r="L156" s="179"/>
      <c r="M156" s="179"/>
      <c r="N156" s="179"/>
      <c r="O156" s="179"/>
      <c r="P156" s="178"/>
      <c r="Q156" s="179"/>
      <c r="R156" s="178"/>
      <c r="S156" s="179"/>
      <c r="T156" s="174"/>
      <c r="U156" s="174"/>
      <c r="V156" s="174"/>
      <c r="W156" s="163"/>
    </row>
    <row r="157" spans="1:45" s="153" customFormat="1" ht="15" customHeight="1" x14ac:dyDescent="0.2">
      <c r="A157" s="634" t="s">
        <v>9</v>
      </c>
      <c r="B157" s="634"/>
      <c r="C157" s="634"/>
      <c r="D157" s="173"/>
      <c r="E157" s="180"/>
      <c r="F157" s="181">
        <v>375061.18374457106</v>
      </c>
      <c r="G157" s="181">
        <v>339864.84374457109</v>
      </c>
      <c r="H157" s="181">
        <v>35196.339999999997</v>
      </c>
      <c r="I157" s="181">
        <v>271793.49</v>
      </c>
      <c r="J157" s="181">
        <v>263502.86000000004</v>
      </c>
      <c r="K157" s="181">
        <v>8288.5600000000013</v>
      </c>
      <c r="L157" s="181">
        <v>1119639.6900000002</v>
      </c>
      <c r="M157" s="181">
        <v>258799.27999999994</v>
      </c>
      <c r="N157" s="181">
        <v>860840.41</v>
      </c>
      <c r="O157" s="182"/>
      <c r="P157" s="181">
        <v>1766494.3637445706</v>
      </c>
      <c r="Q157" s="181">
        <v>862166.9837445711</v>
      </c>
      <c r="R157" s="181">
        <v>904325.31</v>
      </c>
      <c r="S157" s="182">
        <v>0.48806664852129561</v>
      </c>
      <c r="T157" s="174"/>
      <c r="U157" s="177">
        <v>7.3903405666579411</v>
      </c>
      <c r="V157" s="177">
        <v>20.397578699162302</v>
      </c>
      <c r="W157" s="153" t="s">
        <v>9</v>
      </c>
    </row>
    <row r="158" spans="1:45" s="153" customFormat="1" ht="15" customHeight="1" x14ac:dyDescent="0.2">
      <c r="A158" s="634" t="s">
        <v>10</v>
      </c>
      <c r="B158" s="634"/>
      <c r="C158" s="634"/>
      <c r="D158" s="173"/>
      <c r="E158" s="180"/>
      <c r="F158" s="181">
        <v>170685.48886769806</v>
      </c>
      <c r="G158" s="181">
        <v>161711.05886769807</v>
      </c>
      <c r="H158" s="181">
        <v>8974.43</v>
      </c>
      <c r="I158" s="181">
        <v>175081.91</v>
      </c>
      <c r="J158" s="181">
        <v>172990.63</v>
      </c>
      <c r="K158" s="181">
        <v>2091.16</v>
      </c>
      <c r="L158" s="181">
        <v>448675.76999999996</v>
      </c>
      <c r="M158" s="181">
        <v>22617.77</v>
      </c>
      <c r="N158" s="181">
        <v>426057.99999999994</v>
      </c>
      <c r="O158" s="182"/>
      <c r="P158" s="181">
        <v>794443.16886769817</v>
      </c>
      <c r="Q158" s="181">
        <v>357319.45886769809</v>
      </c>
      <c r="R158" s="181">
        <v>437123.59</v>
      </c>
      <c r="S158" s="182">
        <v>0.44977346759363218</v>
      </c>
      <c r="T158" s="174"/>
      <c r="U158" s="177">
        <v>10.60192337141871</v>
      </c>
      <c r="V158" s="177">
        <v>25.621648189627635</v>
      </c>
      <c r="W158" s="153" t="s">
        <v>10</v>
      </c>
    </row>
    <row r="159" spans="1:45" s="153" customFormat="1" ht="15" customHeight="1" x14ac:dyDescent="0.2">
      <c r="A159" s="634" t="s">
        <v>11</v>
      </c>
      <c r="B159" s="634"/>
      <c r="C159" s="634"/>
      <c r="D159" s="173"/>
      <c r="E159" s="180"/>
      <c r="F159" s="181">
        <v>119407.59367749795</v>
      </c>
      <c r="G159" s="181">
        <v>111134.643677498</v>
      </c>
      <c r="H159" s="181">
        <v>8272.9500000000007</v>
      </c>
      <c r="I159" s="181">
        <v>133846.01999999999</v>
      </c>
      <c r="J159" s="181">
        <v>131121.15</v>
      </c>
      <c r="K159" s="181">
        <v>2723.84</v>
      </c>
      <c r="L159" s="181">
        <v>204943.38999999998</v>
      </c>
      <c r="M159" s="181">
        <v>15763.98</v>
      </c>
      <c r="N159" s="181">
        <v>189179.40999999997</v>
      </c>
      <c r="O159" s="182"/>
      <c r="P159" s="181">
        <v>458197.00367749797</v>
      </c>
      <c r="Q159" s="181">
        <v>258019.77367749793</v>
      </c>
      <c r="R159" s="181">
        <v>200176.2</v>
      </c>
      <c r="S159" s="182">
        <v>0.56311973148367678</v>
      </c>
      <c r="T159" s="174"/>
      <c r="U159" s="177">
        <v>10.946686841898371</v>
      </c>
      <c r="V159" s="177">
        <v>24.414959171947977</v>
      </c>
      <c r="W159" s="153" t="s">
        <v>11</v>
      </c>
    </row>
    <row r="160" spans="1:45" s="153" customFormat="1" ht="15" customHeight="1" x14ac:dyDescent="0.2">
      <c r="A160" s="634" t="s">
        <v>12</v>
      </c>
      <c r="B160" s="634"/>
      <c r="C160" s="634"/>
      <c r="D160" s="173"/>
      <c r="E160" s="180"/>
      <c r="F160" s="181">
        <v>116877.62898750273</v>
      </c>
      <c r="G160" s="181">
        <v>107335.33898750271</v>
      </c>
      <c r="H160" s="181">
        <v>9542.2899999999991</v>
      </c>
      <c r="I160" s="181">
        <v>111766.87999999998</v>
      </c>
      <c r="J160" s="181">
        <v>99884.539999999979</v>
      </c>
      <c r="K160" s="181">
        <v>11877.82</v>
      </c>
      <c r="L160" s="181">
        <v>334771.87999999989</v>
      </c>
      <c r="M160" s="181">
        <v>14265.93</v>
      </c>
      <c r="N160" s="181">
        <v>320505.94999999995</v>
      </c>
      <c r="O160" s="182"/>
      <c r="P160" s="181">
        <v>563416.38898750267</v>
      </c>
      <c r="Q160" s="181">
        <v>221485.80898750279</v>
      </c>
      <c r="R160" s="181">
        <v>341926.05999999994</v>
      </c>
      <c r="S160" s="182">
        <v>0.39311211621928105</v>
      </c>
      <c r="T160" s="174"/>
      <c r="U160" s="177">
        <v>10.644113534125703</v>
      </c>
      <c r="V160" s="177">
        <v>23.283300721715982</v>
      </c>
      <c r="W160" s="153" t="s">
        <v>12</v>
      </c>
    </row>
    <row r="161" spans="1:27" s="153" customFormat="1" ht="15" customHeight="1" x14ac:dyDescent="0.2">
      <c r="A161" s="112"/>
      <c r="B161" s="112"/>
      <c r="C161" s="112"/>
      <c r="D161" s="154"/>
      <c r="E161" s="165"/>
      <c r="F161" s="170"/>
      <c r="G161" s="170"/>
      <c r="H161" s="170"/>
      <c r="I161" s="170"/>
      <c r="J161" s="170"/>
      <c r="K161" s="170"/>
      <c r="L161" s="170"/>
      <c r="M161" s="170"/>
      <c r="N161" s="170"/>
      <c r="O161" s="171"/>
      <c r="P161" s="170"/>
      <c r="Q161" s="170"/>
      <c r="R161" s="170"/>
      <c r="S161" s="167"/>
      <c r="U161" s="161"/>
      <c r="V161" s="161"/>
    </row>
    <row r="162" spans="1:27" s="153" customFormat="1" ht="15" customHeight="1" x14ac:dyDescent="0.2">
      <c r="A162" s="112"/>
      <c r="B162" s="112"/>
      <c r="C162" s="112"/>
      <c r="D162" s="154"/>
      <c r="E162" s="165"/>
      <c r="F162" s="170"/>
      <c r="G162" s="170"/>
      <c r="H162" s="170"/>
      <c r="I162" s="170"/>
      <c r="J162" s="170"/>
      <c r="K162" s="170"/>
      <c r="L162" s="170"/>
      <c r="M162" s="170"/>
      <c r="N162" s="170"/>
      <c r="O162" s="171"/>
      <c r="P162" s="170"/>
      <c r="Q162" s="170"/>
      <c r="R162" s="170"/>
      <c r="S162" s="171"/>
      <c r="U162" s="161"/>
      <c r="V162" s="161"/>
    </row>
    <row r="163" spans="1:27" s="153" customFormat="1" ht="15" customHeight="1" x14ac:dyDescent="0.2">
      <c r="A163" s="625" t="s">
        <v>8</v>
      </c>
      <c r="B163" s="626"/>
      <c r="C163" s="627"/>
      <c r="D163" s="183"/>
      <c r="E163" s="184"/>
      <c r="F163" s="185">
        <v>804189.07999999984</v>
      </c>
      <c r="G163" s="185">
        <v>738647.92000000027</v>
      </c>
      <c r="H163" s="185">
        <v>65541.16</v>
      </c>
      <c r="I163" s="185">
        <f>'[1]App 5-Organics'!V164</f>
        <v>700454.62</v>
      </c>
      <c r="J163" s="185">
        <f>'[1]App 5-Organics'!W164</f>
        <v>673804.09</v>
      </c>
      <c r="K163" s="185">
        <f>'[1]App 5-Organics'!X164</f>
        <v>26650.53</v>
      </c>
      <c r="L163" s="185">
        <v>2122311.4200000004</v>
      </c>
      <c r="M163" s="185">
        <v>301761.65999999986</v>
      </c>
      <c r="N163" s="185">
        <v>1820550.0200000003</v>
      </c>
      <c r="O163" s="185"/>
      <c r="P163" s="185">
        <f>F163+I163+L163</f>
        <v>3626955.12</v>
      </c>
      <c r="Q163" s="185">
        <f>G163+J163+M163</f>
        <v>1714213.6700000002</v>
      </c>
      <c r="R163" s="185">
        <f>H163+K163+N163</f>
        <v>1912741.7100000002</v>
      </c>
      <c r="S163" s="186">
        <f>Q163/P163</f>
        <v>0.47263161888807714</v>
      </c>
      <c r="T163" s="184"/>
      <c r="U163" s="187">
        <v>9.0211811421650729</v>
      </c>
      <c r="V163" s="187">
        <v>23.252452021400295</v>
      </c>
      <c r="Y163" s="168"/>
      <c r="Z163" s="168"/>
      <c r="AA163" s="168"/>
    </row>
    <row r="164" spans="1:27" s="153" customFormat="1" ht="15" customHeight="1" x14ac:dyDescent="0.2">
      <c r="A164" s="184"/>
      <c r="B164" s="184" t="s">
        <v>572</v>
      </c>
      <c r="C164" s="184"/>
      <c r="D164" s="183"/>
      <c r="E164" s="184"/>
      <c r="F164" s="188"/>
      <c r="G164" s="189"/>
      <c r="H164" s="189"/>
      <c r="I164" s="189"/>
      <c r="J164" s="189"/>
      <c r="K164" s="189"/>
      <c r="L164" s="189"/>
      <c r="M164" s="189"/>
      <c r="N164" s="189"/>
      <c r="O164" s="189"/>
      <c r="P164" s="188"/>
      <c r="Q164" s="189"/>
      <c r="R164" s="188"/>
      <c r="S164" s="189"/>
      <c r="T164" s="184"/>
      <c r="U164" s="184"/>
      <c r="V164" s="184"/>
      <c r="Z164" s="168"/>
      <c r="AA164" s="168"/>
    </row>
    <row r="165" spans="1:27" s="153" customFormat="1" ht="15" customHeight="1" x14ac:dyDescent="0.2">
      <c r="A165" s="616" t="s">
        <v>9</v>
      </c>
      <c r="B165" s="616"/>
      <c r="C165" s="616"/>
      <c r="D165" s="183"/>
      <c r="E165" s="190"/>
      <c r="F165" s="191">
        <v>390401.29599999997</v>
      </c>
      <c r="G165" s="191">
        <v>355948.826</v>
      </c>
      <c r="H165" s="191">
        <v>34452.470000000008</v>
      </c>
      <c r="I165" s="191">
        <f>'[1]App 5-Organics'!V166</f>
        <v>307843.94</v>
      </c>
      <c r="J165" s="191">
        <f>'[1]App 5-Organics'!W166</f>
        <v>300911.72000000003</v>
      </c>
      <c r="K165" s="191">
        <f>'[1]App 5-Organics'!X166</f>
        <v>6932.2199999999993</v>
      </c>
      <c r="L165" s="191">
        <v>1131346.7200000002</v>
      </c>
      <c r="M165" s="191">
        <v>249801.56</v>
      </c>
      <c r="N165" s="191">
        <v>881545.15999999992</v>
      </c>
      <c r="O165" s="192"/>
      <c r="P165" s="191">
        <f t="shared" ref="P165:R168" si="41">F165+I165+L165</f>
        <v>1829591.9560000002</v>
      </c>
      <c r="Q165" s="191">
        <f t="shared" si="41"/>
        <v>906662.10600000015</v>
      </c>
      <c r="R165" s="191">
        <f t="shared" si="41"/>
        <v>922929.85</v>
      </c>
      <c r="S165" s="192">
        <f>Q165/P165</f>
        <v>0.49555426991612772</v>
      </c>
      <c r="T165" s="184"/>
      <c r="U165" s="187">
        <v>7.8795454844352104</v>
      </c>
      <c r="V165" s="187">
        <v>21.882988411378587</v>
      </c>
      <c r="W165" s="153" t="s">
        <v>9</v>
      </c>
    </row>
    <row r="166" spans="1:27" s="153" customFormat="1" ht="15" customHeight="1" x14ac:dyDescent="0.2">
      <c r="A166" s="616" t="s">
        <v>10</v>
      </c>
      <c r="B166" s="616"/>
      <c r="C166" s="616"/>
      <c r="D166" s="183"/>
      <c r="E166" s="190"/>
      <c r="F166" s="191">
        <v>177210.03</v>
      </c>
      <c r="G166" s="191">
        <v>162778.99000000002</v>
      </c>
      <c r="H166" s="191">
        <v>14431.04</v>
      </c>
      <c r="I166" s="191">
        <f>'[1]App 5-Organics'!V167</f>
        <v>160361.87</v>
      </c>
      <c r="J166" s="191">
        <f>'[1]App 5-Organics'!W167</f>
        <v>155321.43</v>
      </c>
      <c r="K166" s="191">
        <f>'[1]App 5-Organics'!X167</f>
        <v>5040.4400000000005</v>
      </c>
      <c r="L166" s="191">
        <v>461253.51</v>
      </c>
      <c r="M166" s="191">
        <v>26994.469999999998</v>
      </c>
      <c r="N166" s="191">
        <v>434259.04</v>
      </c>
      <c r="O166" s="192"/>
      <c r="P166" s="191">
        <f t="shared" si="41"/>
        <v>798825.41</v>
      </c>
      <c r="Q166" s="191">
        <f t="shared" si="41"/>
        <v>345094.89</v>
      </c>
      <c r="R166" s="191">
        <f t="shared" si="41"/>
        <v>453730.51999999996</v>
      </c>
      <c r="S166" s="192">
        <f>Q166/P166</f>
        <v>0.43200289535106301</v>
      </c>
      <c r="T166" s="184"/>
      <c r="U166" s="187">
        <v>10.611756550966209</v>
      </c>
      <c r="V166" s="187">
        <v>26.505149405163031</v>
      </c>
      <c r="W166" s="153" t="s">
        <v>10</v>
      </c>
    </row>
    <row r="167" spans="1:27" s="153" customFormat="1" ht="15" customHeight="1" x14ac:dyDescent="0.2">
      <c r="A167" s="616" t="s">
        <v>11</v>
      </c>
      <c r="B167" s="616"/>
      <c r="C167" s="616"/>
      <c r="D167" s="183"/>
      <c r="E167" s="190"/>
      <c r="F167" s="191">
        <v>123305.58</v>
      </c>
      <c r="G167" s="191">
        <v>117945.45999999998</v>
      </c>
      <c r="H167" s="191">
        <v>5360.12</v>
      </c>
      <c r="I167" s="191">
        <f>'[1]App 5-Organics'!V168</f>
        <v>125668.46000000002</v>
      </c>
      <c r="J167" s="191">
        <f>'[1]App 5-Organics'!W168</f>
        <v>122982.06000000001</v>
      </c>
      <c r="K167" s="191">
        <f>'[1]App 5-Organics'!X168</f>
        <v>2686.4</v>
      </c>
      <c r="L167" s="191">
        <v>223405.58000000002</v>
      </c>
      <c r="M167" s="191">
        <v>15391.97</v>
      </c>
      <c r="N167" s="191">
        <v>208013.61000000002</v>
      </c>
      <c r="O167" s="192"/>
      <c r="P167" s="191">
        <f t="shared" si="41"/>
        <v>472379.62000000005</v>
      </c>
      <c r="Q167" s="191">
        <f t="shared" si="41"/>
        <v>256319.49</v>
      </c>
      <c r="R167" s="191">
        <f t="shared" si="41"/>
        <v>216060.13</v>
      </c>
      <c r="S167" s="192">
        <f>Q167/P167</f>
        <v>0.54261335406468203</v>
      </c>
      <c r="T167" s="184"/>
      <c r="U167" s="187">
        <v>11.654408229377539</v>
      </c>
      <c r="V167" s="187">
        <v>26.108698084966498</v>
      </c>
      <c r="W167" s="153" t="s">
        <v>11</v>
      </c>
    </row>
    <row r="168" spans="1:27" s="153" customFormat="1" ht="15" customHeight="1" x14ac:dyDescent="0.2">
      <c r="A168" s="616" t="s">
        <v>12</v>
      </c>
      <c r="B168" s="616"/>
      <c r="C168" s="616"/>
      <c r="D168" s="183"/>
      <c r="E168" s="190"/>
      <c r="F168" s="191">
        <v>119481.72</v>
      </c>
      <c r="G168" s="191">
        <v>106348.29000000002</v>
      </c>
      <c r="H168" s="191">
        <v>13133.43</v>
      </c>
      <c r="I168" s="191">
        <f>'[1]App 5-Organics'!V169</f>
        <v>106580.35</v>
      </c>
      <c r="J168" s="191">
        <f>'[1]App 5-Organics'!W169</f>
        <v>94588.87999999999</v>
      </c>
      <c r="K168" s="191">
        <f>'[1]App 5-Organics'!X169</f>
        <v>11991.469999999998</v>
      </c>
      <c r="L168" s="191">
        <v>335072.77000000008</v>
      </c>
      <c r="M168" s="191">
        <v>3346.0899999999992</v>
      </c>
      <c r="N168" s="191">
        <v>331726.67999999993</v>
      </c>
      <c r="O168" s="192"/>
      <c r="P168" s="191">
        <f t="shared" si="41"/>
        <v>561134.84000000008</v>
      </c>
      <c r="Q168" s="191">
        <f t="shared" si="41"/>
        <v>204283.26</v>
      </c>
      <c r="R168" s="191">
        <f t="shared" si="41"/>
        <v>356851.57999999996</v>
      </c>
      <c r="S168" s="192">
        <f>Q168/P168</f>
        <v>0.36405378072764111</v>
      </c>
      <c r="T168" s="184"/>
      <c r="U168" s="187">
        <v>9.7316136115815102</v>
      </c>
      <c r="V168" s="187">
        <v>21.768723581514152</v>
      </c>
      <c r="W168" s="153" t="s">
        <v>12</v>
      </c>
    </row>
    <row r="169" spans="1:27" s="153" customFormat="1" ht="15" customHeight="1" x14ac:dyDescent="0.2">
      <c r="A169" s="112"/>
      <c r="B169" s="112"/>
      <c r="C169" s="112"/>
      <c r="D169" s="154"/>
      <c r="E169" s="165"/>
      <c r="F169" s="170"/>
      <c r="G169" s="170"/>
      <c r="H169" s="170"/>
      <c r="I169" s="170"/>
      <c r="J169" s="170"/>
      <c r="K169" s="170"/>
      <c r="L169" s="170"/>
      <c r="M169" s="170"/>
      <c r="N169" s="170"/>
      <c r="O169" s="171"/>
      <c r="P169" s="170"/>
      <c r="Q169" s="170"/>
      <c r="R169" s="170"/>
      <c r="S169" s="167"/>
      <c r="U169" s="161"/>
      <c r="V169" s="161"/>
    </row>
    <row r="170" spans="1:27" s="153" customFormat="1" ht="15" customHeight="1" x14ac:dyDescent="0.2">
      <c r="A170" s="112"/>
      <c r="B170" s="112"/>
      <c r="C170" s="112"/>
      <c r="D170" s="154"/>
      <c r="E170" s="165"/>
      <c r="F170" s="170"/>
      <c r="G170" s="170"/>
      <c r="H170" s="170"/>
      <c r="I170" s="170"/>
      <c r="J170" s="170"/>
      <c r="K170" s="170"/>
      <c r="L170" s="170"/>
      <c r="M170" s="170"/>
      <c r="N170" s="170"/>
      <c r="O170" s="171"/>
      <c r="P170" s="170"/>
      <c r="Q170" s="170"/>
      <c r="R170" s="170"/>
      <c r="S170" s="171"/>
      <c r="W170" s="168"/>
    </row>
    <row r="171" spans="1:27" s="153" customFormat="1" ht="15" customHeight="1" x14ac:dyDescent="0.25">
      <c r="A171" s="617" t="s">
        <v>8</v>
      </c>
      <c r="B171" s="618"/>
      <c r="C171" s="619"/>
      <c r="D171" s="193"/>
      <c r="E171" s="194"/>
      <c r="F171" s="195">
        <v>810398.62600000005</v>
      </c>
      <c r="G171" s="195">
        <v>743021.56599999999</v>
      </c>
      <c r="H171" s="195">
        <v>67377.060000000027</v>
      </c>
      <c r="I171" s="195">
        <v>745642.34000000008</v>
      </c>
      <c r="J171" s="195">
        <v>723558.22</v>
      </c>
      <c r="K171" s="195">
        <v>22084.120000000003</v>
      </c>
      <c r="L171" s="195">
        <v>2151078.5799999996</v>
      </c>
      <c r="M171" s="195">
        <v>295534.08999999997</v>
      </c>
      <c r="N171" s="195">
        <v>1855544.49</v>
      </c>
      <c r="O171" s="196"/>
      <c r="P171" s="195">
        <v>3707119.5460000006</v>
      </c>
      <c r="Q171" s="195">
        <v>1762113.8759999995</v>
      </c>
      <c r="R171" s="195">
        <v>1945005.6699999997</v>
      </c>
      <c r="S171" s="197">
        <v>0.47533235821901904</v>
      </c>
      <c r="W171" s="172"/>
    </row>
    <row r="172" spans="1:27" s="153" customFormat="1" ht="15" customHeight="1" x14ac:dyDescent="0.2">
      <c r="A172" s="194"/>
      <c r="B172" s="194" t="s">
        <v>573</v>
      </c>
      <c r="C172" s="194"/>
      <c r="D172" s="193"/>
      <c r="E172" s="194"/>
      <c r="F172" s="198"/>
      <c r="G172" s="199"/>
      <c r="H172" s="199"/>
      <c r="I172" s="199"/>
      <c r="J172" s="199"/>
      <c r="K172" s="199"/>
      <c r="L172" s="199"/>
      <c r="M172" s="199"/>
      <c r="N172" s="199"/>
      <c r="O172" s="199"/>
      <c r="P172" s="198"/>
      <c r="Q172" s="199"/>
      <c r="R172" s="198"/>
      <c r="S172" s="199"/>
    </row>
    <row r="173" spans="1:27" s="153" customFormat="1" ht="15" customHeight="1" x14ac:dyDescent="0.2">
      <c r="A173" s="620" t="s">
        <v>9</v>
      </c>
      <c r="B173" s="620"/>
      <c r="C173" s="620"/>
      <c r="D173" s="193"/>
      <c r="E173" s="200"/>
      <c r="F173" s="201">
        <v>390401.29599999997</v>
      </c>
      <c r="G173" s="201">
        <v>355948.826</v>
      </c>
      <c r="H173" s="201">
        <v>34452.470000000008</v>
      </c>
      <c r="I173" s="201">
        <v>340871.73000000004</v>
      </c>
      <c r="J173" s="201">
        <v>334510.23000000004</v>
      </c>
      <c r="K173" s="201">
        <v>6361.5</v>
      </c>
      <c r="L173" s="201">
        <v>1131346.7200000002</v>
      </c>
      <c r="M173" s="201">
        <v>249801.56</v>
      </c>
      <c r="N173" s="201">
        <v>881545.15999999992</v>
      </c>
      <c r="O173" s="202"/>
      <c r="P173" s="201">
        <v>1862619.746</v>
      </c>
      <c r="Q173" s="201">
        <v>940260.61600000004</v>
      </c>
      <c r="R173" s="201">
        <v>922359.13</v>
      </c>
      <c r="S173" s="202">
        <v>0.50480545909556784</v>
      </c>
      <c r="V173" s="172"/>
    </row>
    <row r="174" spans="1:27" s="153" customFormat="1" ht="15" customHeight="1" x14ac:dyDescent="0.2">
      <c r="A174" s="620" t="s">
        <v>10</v>
      </c>
      <c r="B174" s="620"/>
      <c r="C174" s="620"/>
      <c r="D174" s="193"/>
      <c r="E174" s="200"/>
      <c r="F174" s="201">
        <v>177210.03</v>
      </c>
      <c r="G174" s="201">
        <v>162778.99000000002</v>
      </c>
      <c r="H174" s="201">
        <v>14431.04</v>
      </c>
      <c r="I174" s="201">
        <v>170558.91999999998</v>
      </c>
      <c r="J174" s="201">
        <v>169458.96999999997</v>
      </c>
      <c r="K174" s="201">
        <v>1099.9499999999998</v>
      </c>
      <c r="L174" s="201">
        <v>461253.51</v>
      </c>
      <c r="M174" s="201">
        <v>26994.469999999998</v>
      </c>
      <c r="N174" s="201">
        <v>434259.04</v>
      </c>
      <c r="O174" s="202"/>
      <c r="P174" s="201">
        <v>809022.46000000008</v>
      </c>
      <c r="Q174" s="201">
        <v>359232.43</v>
      </c>
      <c r="R174" s="201">
        <v>449790.03</v>
      </c>
      <c r="S174" s="202">
        <v>0.44403270336895218</v>
      </c>
    </row>
    <row r="175" spans="1:27" s="153" customFormat="1" ht="15" customHeight="1" x14ac:dyDescent="0.2">
      <c r="A175" s="620" t="s">
        <v>11</v>
      </c>
      <c r="B175" s="620"/>
      <c r="C175" s="620"/>
      <c r="D175" s="193"/>
      <c r="E175" s="200"/>
      <c r="F175" s="201">
        <v>123305.58</v>
      </c>
      <c r="G175" s="201">
        <v>117945.45999999998</v>
      </c>
      <c r="H175" s="201">
        <v>5360.12</v>
      </c>
      <c r="I175" s="201">
        <v>129067.54999999999</v>
      </c>
      <c r="J175" s="201">
        <v>127242.59</v>
      </c>
      <c r="K175" s="201">
        <v>1824.96</v>
      </c>
      <c r="L175" s="201">
        <v>223405.58000000002</v>
      </c>
      <c r="M175" s="201">
        <v>15391.97</v>
      </c>
      <c r="N175" s="201">
        <v>208013.61000000002</v>
      </c>
      <c r="O175" s="202"/>
      <c r="P175" s="201">
        <v>475778.71000000008</v>
      </c>
      <c r="Q175" s="201">
        <v>260580.02</v>
      </c>
      <c r="R175" s="201">
        <v>215198.69</v>
      </c>
      <c r="S175" s="202">
        <v>0.54769163588677594</v>
      </c>
    </row>
    <row r="176" spans="1:27" s="153" customFormat="1" ht="15" customHeight="1" x14ac:dyDescent="0.2">
      <c r="A176" s="620" t="s">
        <v>12</v>
      </c>
      <c r="B176" s="620"/>
      <c r="C176" s="620"/>
      <c r="D176" s="193"/>
      <c r="E176" s="200"/>
      <c r="F176" s="201">
        <v>119481.72</v>
      </c>
      <c r="G176" s="201">
        <v>106348.29000000002</v>
      </c>
      <c r="H176" s="201">
        <v>13133.43</v>
      </c>
      <c r="I176" s="201">
        <v>105144.14000000001</v>
      </c>
      <c r="J176" s="201">
        <v>92346.430000000008</v>
      </c>
      <c r="K176" s="201">
        <v>12797.71</v>
      </c>
      <c r="L176" s="201">
        <v>335072.77000000008</v>
      </c>
      <c r="M176" s="201">
        <v>3346.0899999999992</v>
      </c>
      <c r="N176" s="201">
        <v>331726.67999999993</v>
      </c>
      <c r="O176" s="202"/>
      <c r="P176" s="201">
        <v>559698.62999999989</v>
      </c>
      <c r="Q176" s="201">
        <v>202040.81000000003</v>
      </c>
      <c r="R176" s="201">
        <v>357657.81999999995</v>
      </c>
      <c r="S176" s="202">
        <v>0.36098142673674233</v>
      </c>
    </row>
    <row r="177" spans="1:27" s="203" customFormat="1" ht="11.25" x14ac:dyDescent="0.2">
      <c r="D177" s="154"/>
      <c r="E177" s="204"/>
      <c r="F177" s="205"/>
      <c r="G177" s="205"/>
      <c r="H177" s="205"/>
      <c r="I177" s="205"/>
      <c r="J177" s="205"/>
      <c r="K177" s="205"/>
      <c r="L177" s="205"/>
      <c r="M177" s="205"/>
      <c r="N177" s="205"/>
      <c r="O177" s="206"/>
      <c r="P177" s="170"/>
      <c r="Q177" s="170"/>
      <c r="R177" s="170"/>
      <c r="S177" s="167"/>
    </row>
    <row r="178" spans="1:27" s="203" customFormat="1" ht="15.75" x14ac:dyDescent="0.25">
      <c r="A178" s="621" t="s">
        <v>8</v>
      </c>
      <c r="B178" s="622"/>
      <c r="C178" s="623"/>
      <c r="D178" s="207"/>
      <c r="E178" s="208"/>
      <c r="F178" s="209">
        <v>810826.45399999979</v>
      </c>
      <c r="G178" s="209">
        <v>756589.84400000004</v>
      </c>
      <c r="H178" s="209">
        <v>54236.3</v>
      </c>
      <c r="I178" s="209">
        <v>753410.64599999995</v>
      </c>
      <c r="J178" s="209">
        <v>725978.2758050001</v>
      </c>
      <c r="K178" s="209">
        <v>27432.34019499999</v>
      </c>
      <c r="L178" s="209">
        <v>2127203.2800000003</v>
      </c>
      <c r="M178" s="209">
        <v>290906.63299999991</v>
      </c>
      <c r="N178" s="209">
        <v>1836296.6470000006</v>
      </c>
      <c r="O178" s="210"/>
      <c r="P178" s="209">
        <v>3691440.3800000004</v>
      </c>
      <c r="Q178" s="209">
        <v>1773474.7528050002</v>
      </c>
      <c r="R178" s="209">
        <v>1917965.2871949996</v>
      </c>
      <c r="S178" s="211">
        <v>0.48042893023914962</v>
      </c>
      <c r="X178" s="169"/>
    </row>
    <row r="179" spans="1:27" s="203" customFormat="1" ht="11.25" x14ac:dyDescent="0.2">
      <c r="A179" s="208"/>
      <c r="B179" s="208" t="s">
        <v>574</v>
      </c>
      <c r="C179" s="208"/>
      <c r="D179" s="207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</row>
    <row r="180" spans="1:27" s="203" customFormat="1" ht="15.75" x14ac:dyDescent="0.25">
      <c r="A180" s="608" t="s">
        <v>9</v>
      </c>
      <c r="B180" s="608"/>
      <c r="C180" s="608"/>
      <c r="D180" s="207"/>
      <c r="E180" s="213"/>
      <c r="F180" s="214">
        <v>384319.01399999997</v>
      </c>
      <c r="G180" s="214">
        <v>355570.984</v>
      </c>
      <c r="H180" s="214">
        <v>28748.029999999995</v>
      </c>
      <c r="I180" s="214">
        <v>326139.74999999994</v>
      </c>
      <c r="J180" s="214">
        <v>310678.23340000003</v>
      </c>
      <c r="K180" s="214">
        <v>15461.516599999999</v>
      </c>
      <c r="L180" s="214">
        <v>1092206.9299999997</v>
      </c>
      <c r="M180" s="214">
        <v>239205.09300000002</v>
      </c>
      <c r="N180" s="214">
        <v>853001.83699999994</v>
      </c>
      <c r="O180" s="210"/>
      <c r="P180" s="214">
        <v>1802665.6939999999</v>
      </c>
      <c r="Q180" s="214">
        <v>905454.31039999996</v>
      </c>
      <c r="R180" s="214">
        <v>897211.38359999983</v>
      </c>
      <c r="S180" s="215">
        <v>0.50228631598954698</v>
      </c>
    </row>
    <row r="181" spans="1:27" ht="15.75" x14ac:dyDescent="0.25">
      <c r="A181" s="608" t="s">
        <v>10</v>
      </c>
      <c r="B181" s="608"/>
      <c r="C181" s="608"/>
      <c r="D181" s="207"/>
      <c r="E181" s="213"/>
      <c r="F181" s="214">
        <v>170038.95</v>
      </c>
      <c r="G181" s="214">
        <v>161953.36000000002</v>
      </c>
      <c r="H181" s="214">
        <v>8085.59</v>
      </c>
      <c r="I181" s="214">
        <v>187109.53</v>
      </c>
      <c r="J181" s="214">
        <v>183328.3904</v>
      </c>
      <c r="K181" s="214">
        <v>3781.1095999999998</v>
      </c>
      <c r="L181" s="214">
        <v>459292.18999999994</v>
      </c>
      <c r="M181" s="214">
        <v>22425.309999999998</v>
      </c>
      <c r="N181" s="214">
        <v>436866.88</v>
      </c>
      <c r="O181" s="210"/>
      <c r="P181" s="214">
        <v>816440.67</v>
      </c>
      <c r="Q181" s="214">
        <v>367707.06040000002</v>
      </c>
      <c r="R181" s="214">
        <v>448733.57959999994</v>
      </c>
      <c r="S181" s="215">
        <v>0.4503781767755396</v>
      </c>
    </row>
    <row r="182" spans="1:27" ht="15.75" x14ac:dyDescent="0.25">
      <c r="A182" s="608" t="s">
        <v>11</v>
      </c>
      <c r="B182" s="608"/>
      <c r="C182" s="608"/>
      <c r="D182" s="207"/>
      <c r="E182" s="213"/>
      <c r="F182" s="214">
        <v>123318.63000000002</v>
      </c>
      <c r="G182" s="214">
        <v>116752.89</v>
      </c>
      <c r="H182" s="214">
        <v>6565.73</v>
      </c>
      <c r="I182" s="214">
        <v>122302.56000000001</v>
      </c>
      <c r="J182" s="214">
        <v>118111.38041199998</v>
      </c>
      <c r="K182" s="214">
        <v>4191.179588</v>
      </c>
      <c r="L182" s="214">
        <v>218838.86</v>
      </c>
      <c r="M182" s="214">
        <v>23012.85</v>
      </c>
      <c r="N182" s="214">
        <v>195826.01</v>
      </c>
      <c r="O182" s="210"/>
      <c r="P182" s="214">
        <v>464460.05</v>
      </c>
      <c r="Q182" s="214">
        <v>257877.12041199993</v>
      </c>
      <c r="R182" s="214">
        <v>206582.91958800002</v>
      </c>
      <c r="S182" s="215">
        <v>0.55521916343935274</v>
      </c>
    </row>
    <row r="183" spans="1:27" ht="15.75" x14ac:dyDescent="0.25">
      <c r="A183" s="608" t="s">
        <v>12</v>
      </c>
      <c r="B183" s="608"/>
      <c r="C183" s="608"/>
      <c r="D183" s="207"/>
      <c r="E183" s="213"/>
      <c r="F183" s="214">
        <v>133149.85999999999</v>
      </c>
      <c r="G183" s="214">
        <v>122312.61</v>
      </c>
      <c r="H183" s="214">
        <v>10836.949999999997</v>
      </c>
      <c r="I183" s="214">
        <v>117858.806</v>
      </c>
      <c r="J183" s="214">
        <v>113860.27159300001</v>
      </c>
      <c r="K183" s="214">
        <v>3998.5344069999996</v>
      </c>
      <c r="L183" s="214">
        <v>356865.30000000005</v>
      </c>
      <c r="M183" s="214">
        <v>6263.38</v>
      </c>
      <c r="N183" s="214">
        <v>350601.92000000004</v>
      </c>
      <c r="O183" s="210"/>
      <c r="P183" s="214">
        <v>607873.96600000001</v>
      </c>
      <c r="Q183" s="214">
        <v>242436.261593</v>
      </c>
      <c r="R183" s="214">
        <v>365437.40440699999</v>
      </c>
      <c r="S183" s="215">
        <v>0.3988265251566967</v>
      </c>
    </row>
    <row r="184" spans="1:27" x14ac:dyDescent="0.2">
      <c r="A184" s="203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170"/>
      <c r="Q184" s="170"/>
      <c r="R184" s="170"/>
      <c r="S184" s="167"/>
      <c r="T184" s="203"/>
    </row>
    <row r="185" spans="1:27" s="203" customFormat="1" ht="15.75" x14ac:dyDescent="0.25">
      <c r="A185" s="609" t="s">
        <v>8</v>
      </c>
      <c r="B185" s="610"/>
      <c r="C185" s="611"/>
      <c r="D185" s="154"/>
      <c r="E185" s="216"/>
      <c r="F185" s="217">
        <v>783766.02854000009</v>
      </c>
      <c r="G185" s="217">
        <v>732227.93373999989</v>
      </c>
      <c r="H185" s="217">
        <v>51537.83479999999</v>
      </c>
      <c r="I185" s="217">
        <v>668256.89999999991</v>
      </c>
      <c r="J185" s="217">
        <v>643114.76829999988</v>
      </c>
      <c r="K185" s="217">
        <v>25142.561700000002</v>
      </c>
      <c r="L185" s="217">
        <v>2071313.8699999996</v>
      </c>
      <c r="M185" s="217">
        <v>272947.21999999997</v>
      </c>
      <c r="N185" s="217">
        <v>1798366.6399999997</v>
      </c>
      <c r="O185" s="218"/>
      <c r="P185" s="217">
        <v>3523336.7985399985</v>
      </c>
      <c r="Q185" s="217">
        <v>1648289.9220400001</v>
      </c>
      <c r="R185" s="217">
        <v>1875047.0364999999</v>
      </c>
      <c r="S185" s="219">
        <v>0.46782070982343188</v>
      </c>
    </row>
    <row r="186" spans="1:27" s="203" customFormat="1" ht="11.25" x14ac:dyDescent="0.2">
      <c r="A186" s="216"/>
      <c r="B186" s="216" t="s">
        <v>575</v>
      </c>
      <c r="C186" s="216"/>
      <c r="D186" s="154"/>
    </row>
    <row r="187" spans="1:27" s="203" customFormat="1" ht="15.75" x14ac:dyDescent="0.25">
      <c r="A187" s="612" t="s">
        <v>9</v>
      </c>
      <c r="B187" s="612"/>
      <c r="C187" s="612"/>
      <c r="D187" s="154"/>
      <c r="E187" s="220"/>
      <c r="F187" s="221">
        <v>388848.38492599997</v>
      </c>
      <c r="G187" s="221">
        <v>361077.60492600006</v>
      </c>
      <c r="H187" s="221">
        <v>27770.78</v>
      </c>
      <c r="I187" s="221">
        <v>302376.85999999993</v>
      </c>
      <c r="J187" s="221">
        <v>288141.67549999995</v>
      </c>
      <c r="K187" s="221">
        <v>14235.404500000002</v>
      </c>
      <c r="L187" s="221">
        <v>1056264.5399999998</v>
      </c>
      <c r="M187" s="221">
        <v>227224.71</v>
      </c>
      <c r="N187" s="221">
        <v>829039.82</v>
      </c>
      <c r="O187" s="218"/>
      <c r="P187" s="221">
        <v>1747489.7849260001</v>
      </c>
      <c r="Q187" s="221">
        <v>876443.99042600009</v>
      </c>
      <c r="R187" s="221">
        <v>871046.00449999992</v>
      </c>
      <c r="S187" s="222">
        <v>0.50154455721932267</v>
      </c>
    </row>
    <row r="188" spans="1:27" ht="15.75" x14ac:dyDescent="0.25">
      <c r="A188" s="612" t="s">
        <v>10</v>
      </c>
      <c r="B188" s="612"/>
      <c r="C188" s="612"/>
      <c r="D188" s="154"/>
      <c r="E188" s="220"/>
      <c r="F188" s="221">
        <v>167150.26034000001</v>
      </c>
      <c r="G188" s="221">
        <v>158553.06034000003</v>
      </c>
      <c r="H188" s="221">
        <v>8597.2000000000007</v>
      </c>
      <c r="I188" s="221">
        <v>154225.84999999998</v>
      </c>
      <c r="J188" s="221">
        <v>153131.26</v>
      </c>
      <c r="K188" s="221">
        <v>1094.6100000000001</v>
      </c>
      <c r="L188" s="221">
        <v>421353.74000000005</v>
      </c>
      <c r="M188" s="221">
        <v>21954.73</v>
      </c>
      <c r="N188" s="221">
        <v>399399.01</v>
      </c>
      <c r="O188" s="218"/>
      <c r="P188" s="221">
        <v>742729.85034</v>
      </c>
      <c r="Q188" s="221">
        <v>333639.05034000002</v>
      </c>
      <c r="R188" s="221">
        <v>409090.81999999995</v>
      </c>
      <c r="S188" s="222">
        <v>0.44920646475602105</v>
      </c>
    </row>
    <row r="189" spans="1:27" ht="15.75" x14ac:dyDescent="0.25">
      <c r="A189" s="612" t="s">
        <v>11</v>
      </c>
      <c r="B189" s="612"/>
      <c r="C189" s="612"/>
      <c r="D189" s="154"/>
      <c r="E189" s="220"/>
      <c r="F189" s="221">
        <v>113441.12880399998</v>
      </c>
      <c r="G189" s="221">
        <v>107682.15880399999</v>
      </c>
      <c r="H189" s="221">
        <v>5758.97</v>
      </c>
      <c r="I189" s="221">
        <v>111325.99</v>
      </c>
      <c r="J189" s="221">
        <v>107619.91280000001</v>
      </c>
      <c r="K189" s="221">
        <v>3706.1372000000001</v>
      </c>
      <c r="L189" s="221">
        <v>225905.72999999998</v>
      </c>
      <c r="M189" s="221">
        <v>19363.61</v>
      </c>
      <c r="N189" s="221">
        <v>206542.12</v>
      </c>
      <c r="O189" s="218"/>
      <c r="P189" s="221">
        <v>450672.84880400001</v>
      </c>
      <c r="Q189" s="221">
        <v>234665.68160400001</v>
      </c>
      <c r="R189" s="221">
        <v>216007.22719999996</v>
      </c>
      <c r="S189" s="222">
        <v>0.52070073053381871</v>
      </c>
    </row>
    <row r="190" spans="1:27" ht="15.75" x14ac:dyDescent="0.25">
      <c r="A190" s="612" t="s">
        <v>12</v>
      </c>
      <c r="B190" s="612"/>
      <c r="C190" s="612"/>
      <c r="D190" s="154"/>
      <c r="E190" s="220"/>
      <c r="F190" s="221">
        <v>114326.25446999999</v>
      </c>
      <c r="G190" s="221">
        <v>104915.10966999999</v>
      </c>
      <c r="H190" s="221">
        <v>9410.8847999999998</v>
      </c>
      <c r="I190" s="221">
        <v>100328.19999999998</v>
      </c>
      <c r="J190" s="221">
        <v>94221.919999999984</v>
      </c>
      <c r="K190" s="221">
        <v>6106.4100000000008</v>
      </c>
      <c r="L190" s="221">
        <v>367789.8600000001</v>
      </c>
      <c r="M190" s="221">
        <v>4404.17</v>
      </c>
      <c r="N190" s="221">
        <v>363385.69000000006</v>
      </c>
      <c r="O190" s="218"/>
      <c r="P190" s="221">
        <v>582444.3144700001</v>
      </c>
      <c r="Q190" s="221">
        <v>203541.19967000006</v>
      </c>
      <c r="R190" s="221">
        <v>378902.98479999998</v>
      </c>
      <c r="S190" s="222">
        <v>0.34946035975166828</v>
      </c>
    </row>
    <row r="191" spans="1:27" x14ac:dyDescent="0.2">
      <c r="A191" s="203"/>
      <c r="B191" s="203"/>
      <c r="C191" s="203"/>
      <c r="D191" s="154"/>
      <c r="E191" s="204"/>
      <c r="F191" s="205"/>
      <c r="G191" s="205"/>
      <c r="H191" s="205"/>
      <c r="I191" s="205"/>
      <c r="J191" s="205"/>
      <c r="K191" s="205"/>
      <c r="L191" s="205"/>
      <c r="M191" s="205"/>
      <c r="N191" s="205"/>
      <c r="O191" s="206"/>
      <c r="P191" s="170">
        <f>P187+P188</f>
        <v>2490219.6352659999</v>
      </c>
      <c r="Q191" s="170">
        <f t="shared" ref="Q191:R191" si="42">Q187+Q188</f>
        <v>1210083.040766</v>
      </c>
      <c r="R191" s="170">
        <f t="shared" si="42"/>
        <v>1280136.8244999999</v>
      </c>
      <c r="S191" s="167">
        <f>Q191/P191</f>
        <v>0.48593426203417656</v>
      </c>
    </row>
    <row r="192" spans="1:27" ht="15.75" x14ac:dyDescent="0.25">
      <c r="A192" s="613" t="s">
        <v>8</v>
      </c>
      <c r="B192" s="614"/>
      <c r="C192" s="615"/>
      <c r="D192" s="154"/>
      <c r="E192" s="223"/>
      <c r="F192" s="224">
        <v>781932.51</v>
      </c>
      <c r="G192" s="224">
        <v>724099.25</v>
      </c>
      <c r="H192" s="224">
        <v>57833.27</v>
      </c>
      <c r="I192" s="224">
        <v>667415.55000000005</v>
      </c>
      <c r="J192" s="224">
        <v>632189.61</v>
      </c>
      <c r="K192" s="224">
        <v>35225.93</v>
      </c>
      <c r="L192" s="224">
        <v>2023642.96</v>
      </c>
      <c r="M192" s="224">
        <v>259067.64</v>
      </c>
      <c r="N192" s="224">
        <v>1764575.32</v>
      </c>
      <c r="O192" s="225">
        <v>0</v>
      </c>
      <c r="P192" s="224">
        <v>3472992</v>
      </c>
      <c r="Q192" s="224">
        <v>1615356.51</v>
      </c>
      <c r="R192" s="224">
        <v>1857634.52</v>
      </c>
      <c r="S192" s="197">
        <v>0.46510000000000001</v>
      </c>
      <c r="V192" s="172">
        <f>I134-I192</f>
        <v>195805.9800000001</v>
      </c>
      <c r="W192" s="172">
        <f t="shared" ref="W192:X192" si="43">J134-J192</f>
        <v>214637.46000000031</v>
      </c>
      <c r="X192" s="172">
        <f t="shared" si="43"/>
        <v>-18831.650000000001</v>
      </c>
      <c r="Y192" s="226">
        <f>I134/I192</f>
        <v>1.2933794095747395</v>
      </c>
      <c r="Z192" s="226">
        <f t="shared" ref="Z192" si="44">J134/J192</f>
        <v>1.3395143744928049</v>
      </c>
      <c r="AA192" s="163">
        <f>J192/Q192</f>
        <v>0.39136228200176071</v>
      </c>
    </row>
    <row r="193" spans="1:19" x14ac:dyDescent="0.2">
      <c r="A193" s="223"/>
      <c r="B193" s="223" t="s">
        <v>576</v>
      </c>
      <c r="C193" s="223"/>
      <c r="D193" s="154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</row>
    <row r="194" spans="1:19" ht="15.75" x14ac:dyDescent="0.25">
      <c r="A194" s="607" t="s">
        <v>9</v>
      </c>
      <c r="B194" s="607"/>
      <c r="C194" s="607"/>
      <c r="D194" s="154"/>
      <c r="E194" s="227"/>
      <c r="F194" s="201">
        <v>393104.56</v>
      </c>
      <c r="G194" s="201">
        <v>363575.96</v>
      </c>
      <c r="H194" s="201">
        <v>29528.6</v>
      </c>
      <c r="I194" s="201">
        <v>321065.7</v>
      </c>
      <c r="J194" s="201">
        <v>311375.11</v>
      </c>
      <c r="K194" s="201">
        <v>9690.58</v>
      </c>
      <c r="L194" s="201">
        <v>1025007.22</v>
      </c>
      <c r="M194" s="201">
        <v>216885.01</v>
      </c>
      <c r="N194" s="201">
        <v>808122.21</v>
      </c>
      <c r="O194" s="225">
        <v>0</v>
      </c>
      <c r="P194" s="201">
        <v>1739177.48</v>
      </c>
      <c r="Q194" s="201">
        <v>891836.08</v>
      </c>
      <c r="R194" s="201">
        <v>847341.39</v>
      </c>
      <c r="S194" s="202">
        <v>0.51270000000000004</v>
      </c>
    </row>
    <row r="195" spans="1:19" ht="15.75" x14ac:dyDescent="0.25">
      <c r="A195" s="607" t="s">
        <v>10</v>
      </c>
      <c r="B195" s="607"/>
      <c r="C195" s="607"/>
      <c r="D195" s="154"/>
      <c r="E195" s="227"/>
      <c r="F195" s="201">
        <v>161529.84</v>
      </c>
      <c r="G195" s="201">
        <v>152860.59</v>
      </c>
      <c r="H195" s="201">
        <v>8669.25</v>
      </c>
      <c r="I195" s="201">
        <v>137604.97</v>
      </c>
      <c r="J195" s="201">
        <v>132106.82</v>
      </c>
      <c r="K195" s="201">
        <v>5498.14</v>
      </c>
      <c r="L195" s="201">
        <v>435845.71</v>
      </c>
      <c r="M195" s="201">
        <v>20298.78</v>
      </c>
      <c r="N195" s="201">
        <v>415546.93</v>
      </c>
      <c r="O195" s="225">
        <v>0</v>
      </c>
      <c r="P195" s="201">
        <v>734980.52</v>
      </c>
      <c r="Q195" s="201">
        <v>305266.19</v>
      </c>
      <c r="R195" s="201">
        <v>429714.32</v>
      </c>
      <c r="S195" s="202">
        <v>0.4153</v>
      </c>
    </row>
    <row r="196" spans="1:19" ht="15.75" x14ac:dyDescent="0.25">
      <c r="A196" s="607" t="s">
        <v>11</v>
      </c>
      <c r="B196" s="607"/>
      <c r="C196" s="607"/>
      <c r="D196" s="154"/>
      <c r="E196" s="227"/>
      <c r="F196" s="201">
        <v>104664.76</v>
      </c>
      <c r="G196" s="201">
        <v>98441.04</v>
      </c>
      <c r="H196" s="201">
        <v>6223.71</v>
      </c>
      <c r="I196" s="201">
        <v>115584.1</v>
      </c>
      <c r="J196" s="201">
        <v>111889.41</v>
      </c>
      <c r="K196" s="201">
        <v>3694.68</v>
      </c>
      <c r="L196" s="201">
        <v>223425.77</v>
      </c>
      <c r="M196" s="201">
        <v>18348.169999999998</v>
      </c>
      <c r="N196" s="201">
        <v>205077.6</v>
      </c>
      <c r="O196" s="225">
        <v>0</v>
      </c>
      <c r="P196" s="201">
        <v>443674.63</v>
      </c>
      <c r="Q196" s="201">
        <v>228678.63</v>
      </c>
      <c r="R196" s="201">
        <v>214995.99</v>
      </c>
      <c r="S196" s="202">
        <v>0.51539999999999997</v>
      </c>
    </row>
    <row r="197" spans="1:19" ht="15.75" x14ac:dyDescent="0.25">
      <c r="A197" s="607" t="s">
        <v>12</v>
      </c>
      <c r="B197" s="607"/>
      <c r="C197" s="607"/>
      <c r="D197" s="154"/>
      <c r="E197" s="227"/>
      <c r="F197" s="201">
        <v>122633.34</v>
      </c>
      <c r="G197" s="201">
        <v>109221.64</v>
      </c>
      <c r="H197" s="201">
        <v>13411.7</v>
      </c>
      <c r="I197" s="201">
        <v>93160.78</v>
      </c>
      <c r="J197" s="201">
        <v>76818.25</v>
      </c>
      <c r="K197" s="201">
        <v>16342.52</v>
      </c>
      <c r="L197" s="201">
        <v>339364.26</v>
      </c>
      <c r="M197" s="201">
        <v>3535.68</v>
      </c>
      <c r="N197" s="201">
        <v>335828.58</v>
      </c>
      <c r="O197" s="225">
        <v>0</v>
      </c>
      <c r="P197" s="201">
        <v>555158.38</v>
      </c>
      <c r="Q197" s="201">
        <v>189575.58</v>
      </c>
      <c r="R197" s="201">
        <v>365582.8</v>
      </c>
      <c r="S197" s="202">
        <v>0.34139999999999998</v>
      </c>
    </row>
    <row r="198" spans="1:19" x14ac:dyDescent="0.2">
      <c r="D198" s="154"/>
      <c r="P198" s="170"/>
      <c r="Q198" s="170"/>
      <c r="R198" s="170"/>
      <c r="S198" s="167"/>
    </row>
    <row r="199" spans="1:19" ht="15.75" x14ac:dyDescent="0.25">
      <c r="A199" s="603" t="s">
        <v>8</v>
      </c>
      <c r="B199" s="604"/>
      <c r="C199" s="605"/>
      <c r="D199" s="154"/>
      <c r="E199" s="229"/>
      <c r="F199" s="230">
        <v>780245.88684224233</v>
      </c>
      <c r="G199" s="230">
        <v>722570.62020977982</v>
      </c>
      <c r="H199" s="230">
        <v>57675.268989419019</v>
      </c>
      <c r="I199" s="230">
        <v>726885.98999999976</v>
      </c>
      <c r="J199" s="230">
        <v>702956.36975000019</v>
      </c>
      <c r="K199" s="230">
        <v>23928.62025</v>
      </c>
      <c r="L199" s="230">
        <v>2015711.9399999997</v>
      </c>
      <c r="M199" s="230">
        <v>231353.48999999996</v>
      </c>
      <c r="N199" s="230">
        <v>1784358.4500000002</v>
      </c>
      <c r="O199" s="231">
        <v>0.47032470529589121</v>
      </c>
      <c r="P199" s="230">
        <f>F199+I199+L199</f>
        <v>3522843.8168422421</v>
      </c>
      <c r="Q199" s="230">
        <f>G199+J199+M199</f>
        <v>1656880.4799597801</v>
      </c>
      <c r="R199" s="230">
        <f>H199+K199+N199</f>
        <v>1865962.3392394192</v>
      </c>
      <c r="S199" s="232">
        <f>Q199/P199</f>
        <v>0.47032470529589121</v>
      </c>
    </row>
    <row r="200" spans="1:19" x14ac:dyDescent="0.2">
      <c r="A200" s="229"/>
      <c r="B200" s="229" t="s">
        <v>577</v>
      </c>
      <c r="C200" s="229"/>
      <c r="D200" s="154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</row>
    <row r="201" spans="1:19" ht="15.75" x14ac:dyDescent="0.25">
      <c r="A201" s="606" t="s">
        <v>9</v>
      </c>
      <c r="B201" s="606"/>
      <c r="C201" s="606"/>
      <c r="D201" s="154"/>
      <c r="E201" s="233"/>
      <c r="F201" s="234">
        <v>418977.82041186071</v>
      </c>
      <c r="G201" s="234">
        <v>385217.15643382585</v>
      </c>
      <c r="H201" s="234">
        <v>33760.663978034994</v>
      </c>
      <c r="I201" s="234">
        <v>350643.41</v>
      </c>
      <c r="J201" s="234">
        <v>344413.04</v>
      </c>
      <c r="K201" s="234">
        <v>6229.3700000000008</v>
      </c>
      <c r="L201" s="234">
        <v>1029387.1299999999</v>
      </c>
      <c r="M201" s="234">
        <v>205658.04999999993</v>
      </c>
      <c r="N201" s="234">
        <v>823729.08000000007</v>
      </c>
      <c r="O201" s="231">
        <v>0.51989099495885793</v>
      </c>
      <c r="P201" s="234">
        <f>F201+I201+L201</f>
        <v>1799008.3604118605</v>
      </c>
      <c r="Q201" s="234">
        <f t="shared" ref="Q201:R204" si="45">G201+J201+M201</f>
        <v>935288.24643382581</v>
      </c>
      <c r="R201" s="234">
        <f t="shared" si="45"/>
        <v>863719.11397803505</v>
      </c>
      <c r="S201" s="235">
        <f>Q201/P201</f>
        <v>0.51989099495885793</v>
      </c>
    </row>
    <row r="202" spans="1:19" ht="15.75" x14ac:dyDescent="0.25">
      <c r="A202" s="606" t="s">
        <v>10</v>
      </c>
      <c r="B202" s="606"/>
      <c r="C202" s="606"/>
      <c r="D202" s="154"/>
      <c r="E202" s="233"/>
      <c r="F202" s="234">
        <v>154127.14000000001</v>
      </c>
      <c r="G202" s="234">
        <v>146047.087640154</v>
      </c>
      <c r="H202" s="234">
        <v>8080.0523598459822</v>
      </c>
      <c r="I202" s="234">
        <v>155695.62</v>
      </c>
      <c r="J202" s="234">
        <v>148631.96</v>
      </c>
      <c r="K202" s="234">
        <v>7063.6600000000035</v>
      </c>
      <c r="L202" s="234">
        <v>430801.91000000003</v>
      </c>
      <c r="M202" s="234">
        <v>15114.29</v>
      </c>
      <c r="N202" s="234">
        <v>415687.62</v>
      </c>
      <c r="O202" s="231">
        <v>0.41828654943421473</v>
      </c>
      <c r="P202" s="234">
        <f>F202+I202+L202</f>
        <v>740624.67</v>
      </c>
      <c r="Q202" s="234">
        <f t="shared" si="45"/>
        <v>309793.337640154</v>
      </c>
      <c r="R202" s="234">
        <f t="shared" si="45"/>
        <v>430831.33235984598</v>
      </c>
      <c r="S202" s="235">
        <f>Q202/P202</f>
        <v>0.41828654943421473</v>
      </c>
    </row>
    <row r="203" spans="1:19" ht="15.75" x14ac:dyDescent="0.25">
      <c r="A203" s="606" t="s">
        <v>11</v>
      </c>
      <c r="B203" s="606"/>
      <c r="C203" s="606"/>
      <c r="D203" s="154"/>
      <c r="E203" s="233"/>
      <c r="F203" s="234">
        <v>104184.5236</v>
      </c>
      <c r="G203" s="234">
        <v>97571.581858261095</v>
      </c>
      <c r="H203" s="234">
        <v>6612.9417417388931</v>
      </c>
      <c r="I203" s="234">
        <v>121636.20999999998</v>
      </c>
      <c r="J203" s="234">
        <v>114191.06974999998</v>
      </c>
      <c r="K203" s="234">
        <v>7445.1402500000004</v>
      </c>
      <c r="L203" s="234">
        <v>226341.53000000003</v>
      </c>
      <c r="M203" s="234">
        <v>10312.009999999998</v>
      </c>
      <c r="N203" s="234">
        <v>216029.52000000002</v>
      </c>
      <c r="O203" s="231">
        <v>0.49113930879627055</v>
      </c>
      <c r="P203" s="234">
        <f>F203+I203+L203</f>
        <v>452162.26360000001</v>
      </c>
      <c r="Q203" s="234">
        <f t="shared" si="45"/>
        <v>222074.66160826109</v>
      </c>
      <c r="R203" s="234">
        <f t="shared" si="45"/>
        <v>230087.60199173892</v>
      </c>
      <c r="S203" s="235">
        <f>Q203/P203</f>
        <v>0.49113930879627055</v>
      </c>
    </row>
    <row r="204" spans="1:19" ht="15.75" x14ac:dyDescent="0.25">
      <c r="A204" s="606" t="s">
        <v>12</v>
      </c>
      <c r="B204" s="606"/>
      <c r="C204" s="606"/>
      <c r="D204" s="154"/>
      <c r="E204" s="233"/>
      <c r="F204" s="234">
        <v>102956.40283038173</v>
      </c>
      <c r="G204" s="234">
        <v>93734.794277538749</v>
      </c>
      <c r="H204" s="234">
        <v>9221.6109097991703</v>
      </c>
      <c r="I204" s="234">
        <v>98910.75</v>
      </c>
      <c r="J204" s="234">
        <v>95720.299999999988</v>
      </c>
      <c r="K204" s="234">
        <v>3190.45</v>
      </c>
      <c r="L204" s="234">
        <v>329181.36999999994</v>
      </c>
      <c r="M204" s="234">
        <v>269.14</v>
      </c>
      <c r="N204" s="234">
        <v>328912.22999999992</v>
      </c>
      <c r="O204" s="231">
        <v>0.35726346298139916</v>
      </c>
      <c r="P204" s="234">
        <f>F204+I204+L204</f>
        <v>531048.52283038164</v>
      </c>
      <c r="Q204" s="234">
        <f t="shared" si="45"/>
        <v>189724.23427753875</v>
      </c>
      <c r="R204" s="234">
        <f t="shared" si="45"/>
        <v>341324.29090979911</v>
      </c>
      <c r="S204" s="235">
        <f>Q204/P204</f>
        <v>0.35726346298139916</v>
      </c>
    </row>
    <row r="205" spans="1:19" x14ac:dyDescent="0.2">
      <c r="P205" s="170"/>
      <c r="Q205" s="170"/>
      <c r="R205" s="170"/>
      <c r="S205" s="167"/>
    </row>
  </sheetData>
  <mergeCells count="69">
    <mergeCell ref="A138:C138"/>
    <mergeCell ref="A139:C139"/>
    <mergeCell ref="A141:C141"/>
    <mergeCell ref="A1:S1"/>
    <mergeCell ref="F2:S2"/>
    <mergeCell ref="F3:H3"/>
    <mergeCell ref="I3:K3"/>
    <mergeCell ref="L3:N3"/>
    <mergeCell ref="P3:P4"/>
    <mergeCell ref="Q3:Q4"/>
    <mergeCell ref="R3:R4"/>
    <mergeCell ref="A137:C137"/>
    <mergeCell ref="S3:S4"/>
    <mergeCell ref="A133:C133"/>
    <mergeCell ref="A134:C134"/>
    <mergeCell ref="A136:C136"/>
    <mergeCell ref="AF3:AH3"/>
    <mergeCell ref="AI3:AK3"/>
    <mergeCell ref="AL3:AN3"/>
    <mergeCell ref="U2:V3"/>
    <mergeCell ref="AF2:AS2"/>
    <mergeCell ref="AR3:AR4"/>
    <mergeCell ref="AS3:AS4"/>
    <mergeCell ref="AP3:AP4"/>
    <mergeCell ref="AQ3:AQ4"/>
    <mergeCell ref="A143:C143"/>
    <mergeCell ref="A144:C144"/>
    <mergeCell ref="A163:C163"/>
    <mergeCell ref="A146:C146"/>
    <mergeCell ref="A148:C148"/>
    <mergeCell ref="A150:C150"/>
    <mergeCell ref="A151:C151"/>
    <mergeCell ref="A152:C152"/>
    <mergeCell ref="A153:C153"/>
    <mergeCell ref="A155:C155"/>
    <mergeCell ref="A157:C157"/>
    <mergeCell ref="A158:C158"/>
    <mergeCell ref="A159:C159"/>
    <mergeCell ref="A160:C160"/>
    <mergeCell ref="A145:C145"/>
    <mergeCell ref="A181:C181"/>
    <mergeCell ref="A165:C165"/>
    <mergeCell ref="A166:C166"/>
    <mergeCell ref="A167:C167"/>
    <mergeCell ref="A168:C168"/>
    <mergeCell ref="A171:C171"/>
    <mergeCell ref="A173:C173"/>
    <mergeCell ref="A174:C174"/>
    <mergeCell ref="A175:C175"/>
    <mergeCell ref="A176:C176"/>
    <mergeCell ref="A178:C178"/>
    <mergeCell ref="A180:C180"/>
    <mergeCell ref="A197:C197"/>
    <mergeCell ref="A182:C182"/>
    <mergeCell ref="A183:C183"/>
    <mergeCell ref="A185:C185"/>
    <mergeCell ref="A187:C187"/>
    <mergeCell ref="A188:C188"/>
    <mergeCell ref="A189:C189"/>
    <mergeCell ref="A190:C190"/>
    <mergeCell ref="A192:C192"/>
    <mergeCell ref="A194:C194"/>
    <mergeCell ref="A195:C195"/>
    <mergeCell ref="A196:C196"/>
    <mergeCell ref="A199:C199"/>
    <mergeCell ref="A201:C201"/>
    <mergeCell ref="A202:C202"/>
    <mergeCell ref="A203:C203"/>
    <mergeCell ref="A204:C204"/>
  </mergeCells>
  <conditionalFormatting sqref="S5:S132">
    <cfRule type="cellIs" dxfId="1" priority="2" operator="greaterThan">
      <formula>0.66</formula>
    </cfRule>
  </conditionalFormatting>
  <conditionalFormatting sqref="AS5:AS132">
    <cfRule type="cellIs" dxfId="0" priority="1" operator="greaterThan">
      <formula>0.66</formula>
    </cfRule>
  </conditionalFormatting>
  <hyperlinks>
    <hyperlink ref="D63" location="'2009-10'!A160" display="Bottom" xr:uid="{974BF50A-6FCD-420F-A2A5-CCFCDBC9AC8F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1A29-2F5E-42A4-A5F2-E254F1F17C87}">
  <dimension ref="A1:AW190"/>
  <sheetViews>
    <sheetView workbookViewId="0">
      <pane xSplit="3" ySplit="4" topLeftCell="D118" activePane="bottomRight" state="frozen"/>
      <selection pane="topRight" activeCell="D1" sqref="D1"/>
      <selection pane="bottomLeft" activeCell="A5" sqref="A5"/>
      <selection pane="bottomRight" activeCell="V134" sqref="V134"/>
    </sheetView>
  </sheetViews>
  <sheetFormatPr defaultColWidth="9.140625" defaultRowHeight="12.75" x14ac:dyDescent="0.2"/>
  <cols>
    <col min="1" max="1" width="8" style="138" bestFit="1" customWidth="1"/>
    <col min="2" max="2" width="26" style="138" bestFit="1" customWidth="1"/>
    <col min="3" max="3" width="15.140625" style="138" bestFit="1" customWidth="1"/>
    <col min="4" max="4" width="3" style="236" bestFit="1" customWidth="1"/>
    <col min="5" max="5" width="1.7109375" style="138" customWidth="1"/>
    <col min="6" max="6" width="8.42578125" style="228" bestFit="1" customWidth="1"/>
    <col min="7" max="7" width="10.5703125" style="228" bestFit="1" customWidth="1"/>
    <col min="8" max="8" width="8.42578125" style="228" bestFit="1" customWidth="1"/>
    <col min="9" max="9" width="0.85546875" style="138" customWidth="1"/>
    <col min="10" max="10" width="8.42578125" style="228" bestFit="1" customWidth="1"/>
    <col min="11" max="11" width="9.28515625" style="228" customWidth="1"/>
    <col min="12" max="12" width="8.42578125" style="228" bestFit="1" customWidth="1"/>
    <col min="13" max="13" width="0.85546875" style="138" customWidth="1"/>
    <col min="14" max="14" width="8.42578125" style="228" bestFit="1" customWidth="1"/>
    <col min="15" max="15" width="9.28515625" style="228" customWidth="1"/>
    <col min="16" max="16" width="8.42578125" style="228" bestFit="1" customWidth="1"/>
    <col min="17" max="17" width="0.85546875" style="138" customWidth="1"/>
    <col min="18" max="18" width="8.42578125" style="138" bestFit="1" customWidth="1"/>
    <col min="19" max="19" width="9.42578125" style="138" bestFit="1" customWidth="1"/>
    <col min="20" max="20" width="8.42578125" style="138" bestFit="1" customWidth="1"/>
    <col min="21" max="21" width="1.7109375" style="138" customWidth="1"/>
    <col min="22" max="24" width="8.85546875" customWidth="1"/>
    <col min="25" max="25" width="4.140625" style="138" bestFit="1" customWidth="1"/>
    <col min="26" max="26" width="9.140625" style="138"/>
    <col min="27" max="27" width="7.42578125" style="138" bestFit="1" customWidth="1"/>
    <col min="28" max="30" width="9.140625" style="138"/>
    <col min="31" max="31" width="2.7109375" style="138" customWidth="1"/>
    <col min="32" max="16384" width="9.140625" style="138"/>
  </cols>
  <sheetData>
    <row r="1" spans="1:49" s="132" customFormat="1" ht="15.75" x14ac:dyDescent="0.25">
      <c r="A1" s="647" t="s">
        <v>578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V1" s="237"/>
      <c r="W1" s="237"/>
      <c r="X1" s="237"/>
    </row>
    <row r="2" spans="1:49" s="240" customFormat="1" ht="15.75" x14ac:dyDescent="0.25">
      <c r="A2" s="238"/>
      <c r="B2" s="136"/>
      <c r="C2" s="136"/>
      <c r="D2" s="136"/>
      <c r="E2" s="239"/>
      <c r="F2" s="239"/>
      <c r="G2" s="239"/>
      <c r="H2" s="239"/>
      <c r="I2" s="136"/>
      <c r="J2" s="239"/>
      <c r="K2" s="239"/>
      <c r="L2" s="239"/>
      <c r="M2" s="136"/>
      <c r="N2" s="239"/>
      <c r="O2" s="239"/>
      <c r="P2" s="239"/>
      <c r="Q2" s="136"/>
      <c r="R2" s="239"/>
      <c r="S2" s="239"/>
      <c r="T2" s="239"/>
      <c r="V2" s="241"/>
      <c r="W2" s="241"/>
      <c r="X2" s="241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</row>
    <row r="3" spans="1:49" ht="15.75" customHeight="1" x14ac:dyDescent="0.25">
      <c r="A3" s="134"/>
      <c r="B3" s="239" t="s">
        <v>181</v>
      </c>
      <c r="C3" s="136"/>
      <c r="D3" s="242"/>
      <c r="E3" s="243"/>
      <c r="F3" s="660" t="s">
        <v>579</v>
      </c>
      <c r="G3" s="661"/>
      <c r="H3" s="661"/>
      <c r="I3" s="242"/>
      <c r="J3" s="660" t="s">
        <v>580</v>
      </c>
      <c r="K3" s="661"/>
      <c r="L3" s="661"/>
      <c r="M3" s="242"/>
      <c r="N3" s="660" t="s">
        <v>581</v>
      </c>
      <c r="O3" s="662"/>
      <c r="P3" s="662"/>
      <c r="Q3" s="242"/>
      <c r="R3" s="660" t="s">
        <v>582</v>
      </c>
      <c r="S3" s="661"/>
      <c r="T3" s="661"/>
      <c r="V3" s="658" t="s">
        <v>583</v>
      </c>
      <c r="W3" s="659"/>
      <c r="X3" s="659"/>
      <c r="AB3" s="657" t="s">
        <v>584</v>
      </c>
      <c r="AC3" s="657"/>
      <c r="AD3" s="657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</row>
    <row r="4" spans="1:49" ht="40.5" x14ac:dyDescent="0.25">
      <c r="A4" s="7" t="s">
        <v>39</v>
      </c>
      <c r="B4" s="33" t="s">
        <v>40</v>
      </c>
      <c r="C4" s="32" t="s">
        <v>15</v>
      </c>
      <c r="D4" s="34" t="s">
        <v>5</v>
      </c>
      <c r="E4" s="243"/>
      <c r="F4" s="35" t="s">
        <v>554</v>
      </c>
      <c r="G4" s="35" t="s">
        <v>552</v>
      </c>
      <c r="H4" s="35" t="s">
        <v>553</v>
      </c>
      <c r="I4" s="244"/>
      <c r="J4" s="35" t="s">
        <v>554</v>
      </c>
      <c r="K4" s="35" t="s">
        <v>552</v>
      </c>
      <c r="L4" s="35" t="s">
        <v>553</v>
      </c>
      <c r="M4" s="244"/>
      <c r="N4" s="35" t="s">
        <v>554</v>
      </c>
      <c r="O4" s="35" t="s">
        <v>552</v>
      </c>
      <c r="P4" s="35" t="s">
        <v>553</v>
      </c>
      <c r="Q4" s="244"/>
      <c r="R4" s="35" t="s">
        <v>554</v>
      </c>
      <c r="S4" s="35" t="s">
        <v>552</v>
      </c>
      <c r="T4" s="35" t="s">
        <v>553</v>
      </c>
      <c r="V4" s="35" t="s">
        <v>554</v>
      </c>
      <c r="W4" s="35" t="s">
        <v>552</v>
      </c>
      <c r="X4" s="35" t="s">
        <v>553</v>
      </c>
      <c r="Z4" s="35" t="s">
        <v>585</v>
      </c>
      <c r="AB4" s="126" t="s">
        <v>586</v>
      </c>
      <c r="AC4" s="126" t="s">
        <v>587</v>
      </c>
      <c r="AD4" s="126" t="s">
        <v>588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</row>
    <row r="5" spans="1:49" x14ac:dyDescent="0.2">
      <c r="A5" s="9">
        <v>10050</v>
      </c>
      <c r="B5" s="9" t="s">
        <v>78</v>
      </c>
      <c r="C5" s="9" t="s">
        <v>73</v>
      </c>
      <c r="D5" s="29" t="s">
        <v>1</v>
      </c>
      <c r="E5" s="19"/>
      <c r="F5" s="1">
        <v>4710</v>
      </c>
      <c r="G5" s="1">
        <v>4361.46</v>
      </c>
      <c r="H5" s="1">
        <v>348.54</v>
      </c>
      <c r="I5" s="246"/>
      <c r="J5" s="1">
        <v>2157.5675632345769</v>
      </c>
      <c r="K5" s="1">
        <v>2157.5675632345769</v>
      </c>
      <c r="L5" s="1"/>
      <c r="M5" s="246"/>
      <c r="N5" s="1">
        <v>2788.5999999999995</v>
      </c>
      <c r="O5" s="1">
        <v>2788.5999999999995</v>
      </c>
      <c r="P5" s="1">
        <v>0</v>
      </c>
      <c r="Q5" s="246"/>
      <c r="R5" s="1">
        <v>0</v>
      </c>
      <c r="S5" s="1">
        <v>0</v>
      </c>
      <c r="T5" s="1">
        <v>0</v>
      </c>
      <c r="V5" s="4">
        <f t="shared" ref="V5:X68" si="0">F5+N5+R5+J5</f>
        <v>9656.1675632345759</v>
      </c>
      <c r="W5" s="4">
        <f t="shared" si="0"/>
        <v>9307.6275632345769</v>
      </c>
      <c r="X5" s="4">
        <f t="shared" si="0"/>
        <v>348.54</v>
      </c>
      <c r="Z5" s="172">
        <f t="shared" ref="Z5:Z68" si="1">F5+J5</f>
        <v>6867.5675632345774</v>
      </c>
      <c r="AB5" s="247">
        <v>0</v>
      </c>
      <c r="AC5" s="247">
        <v>0</v>
      </c>
      <c r="AD5" s="247">
        <v>0</v>
      </c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</row>
    <row r="6" spans="1:49" x14ac:dyDescent="0.2">
      <c r="A6" s="8">
        <v>10130</v>
      </c>
      <c r="B6" s="8" t="s">
        <v>79</v>
      </c>
      <c r="C6" s="8" t="s">
        <v>17</v>
      </c>
      <c r="D6" s="29" t="s">
        <v>1</v>
      </c>
      <c r="E6" s="19"/>
      <c r="F6" s="1">
        <v>3367.4</v>
      </c>
      <c r="G6" s="1">
        <v>3300.8</v>
      </c>
      <c r="H6" s="1">
        <v>66.599999999999994</v>
      </c>
      <c r="I6" s="246"/>
      <c r="J6" s="1">
        <v>776.8605064331141</v>
      </c>
      <c r="K6" s="1">
        <v>776.8605064331141</v>
      </c>
      <c r="L6" s="1"/>
      <c r="M6" s="246"/>
      <c r="N6" s="1">
        <v>730.50000000000011</v>
      </c>
      <c r="O6" s="1">
        <v>703.40000000000009</v>
      </c>
      <c r="P6" s="1">
        <v>27.1</v>
      </c>
      <c r="Q6" s="246"/>
      <c r="R6" s="1">
        <v>0</v>
      </c>
      <c r="S6" s="1">
        <v>0</v>
      </c>
      <c r="T6" s="1">
        <v>0</v>
      </c>
      <c r="V6" s="4">
        <f t="shared" si="0"/>
        <v>4874.7605064331146</v>
      </c>
      <c r="W6" s="4">
        <f t="shared" si="0"/>
        <v>4781.0605064331139</v>
      </c>
      <c r="X6" s="4">
        <f t="shared" si="0"/>
        <v>93.699999999999989</v>
      </c>
      <c r="Z6" s="172">
        <f t="shared" si="1"/>
        <v>4144.2605064331146</v>
      </c>
      <c r="AB6" s="247">
        <v>0</v>
      </c>
      <c r="AC6" s="247">
        <v>0</v>
      </c>
      <c r="AD6" s="247">
        <v>0</v>
      </c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</row>
    <row r="7" spans="1:49" x14ac:dyDescent="0.2">
      <c r="A7" s="8">
        <v>10250</v>
      </c>
      <c r="B7" s="8" t="s">
        <v>80</v>
      </c>
      <c r="C7" s="8" t="s">
        <v>20</v>
      </c>
      <c r="D7" s="29" t="s">
        <v>4</v>
      </c>
      <c r="E7" s="19"/>
      <c r="F7" s="1">
        <v>4288.5600000000004</v>
      </c>
      <c r="G7" s="1">
        <f>F7-H7</f>
        <v>3042.3</v>
      </c>
      <c r="H7" s="1">
        <v>1246.26</v>
      </c>
      <c r="I7" s="246"/>
      <c r="J7" s="1">
        <v>781.45576363482382</v>
      </c>
      <c r="K7" s="1">
        <v>781.45576363482382</v>
      </c>
      <c r="L7" s="1"/>
      <c r="M7" s="246"/>
      <c r="N7" s="1">
        <v>1640.8899999999999</v>
      </c>
      <c r="O7" s="1">
        <v>1640.8899999999999</v>
      </c>
      <c r="P7" s="1">
        <v>0</v>
      </c>
      <c r="Q7" s="246"/>
      <c r="R7" s="1">
        <v>0</v>
      </c>
      <c r="S7" s="1">
        <v>0</v>
      </c>
      <c r="T7" s="1">
        <v>0</v>
      </c>
      <c r="V7" s="4">
        <f t="shared" si="0"/>
        <v>6710.9057636348243</v>
      </c>
      <c r="W7" s="4">
        <f t="shared" si="0"/>
        <v>5464.6457636348241</v>
      </c>
      <c r="X7" s="4">
        <f t="shared" si="0"/>
        <v>1246.26</v>
      </c>
      <c r="Z7" s="172">
        <f t="shared" si="1"/>
        <v>5070.015763634824</v>
      </c>
      <c r="AB7" s="247">
        <v>0</v>
      </c>
      <c r="AC7" s="247">
        <v>0</v>
      </c>
      <c r="AD7" s="247">
        <v>0</v>
      </c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</row>
    <row r="8" spans="1:49" x14ac:dyDescent="0.2">
      <c r="A8" s="8">
        <v>10300</v>
      </c>
      <c r="B8" s="8" t="s">
        <v>81</v>
      </c>
      <c r="C8" s="8" t="s">
        <v>73</v>
      </c>
      <c r="D8" s="29" t="s">
        <v>1</v>
      </c>
      <c r="E8" s="19"/>
      <c r="F8" s="1">
        <v>0</v>
      </c>
      <c r="G8" s="1">
        <v>0</v>
      </c>
      <c r="H8" s="1">
        <v>0</v>
      </c>
      <c r="I8" s="246"/>
      <c r="J8" s="1">
        <v>20.042110611419595</v>
      </c>
      <c r="K8" s="1">
        <v>20.042110611419595</v>
      </c>
      <c r="L8" s="1"/>
      <c r="M8" s="246"/>
      <c r="N8" s="1">
        <v>0</v>
      </c>
      <c r="O8" s="1">
        <v>0</v>
      </c>
      <c r="P8" s="1">
        <v>0</v>
      </c>
      <c r="Q8" s="246"/>
      <c r="R8" s="1">
        <v>0</v>
      </c>
      <c r="S8" s="1">
        <v>0</v>
      </c>
      <c r="T8" s="1">
        <v>0</v>
      </c>
      <c r="V8" s="4">
        <f t="shared" si="0"/>
        <v>20.042110611419595</v>
      </c>
      <c r="W8" s="4">
        <f t="shared" si="0"/>
        <v>20.042110611419595</v>
      </c>
      <c r="X8" s="4">
        <f t="shared" si="0"/>
        <v>0</v>
      </c>
      <c r="Z8" s="172">
        <f t="shared" si="1"/>
        <v>20.042110611419595</v>
      </c>
      <c r="AB8" s="247"/>
      <c r="AC8" s="247"/>
      <c r="AD8" s="247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</row>
    <row r="9" spans="1:49" x14ac:dyDescent="0.2">
      <c r="A9" s="8">
        <v>10470</v>
      </c>
      <c r="B9" s="8" t="s">
        <v>82</v>
      </c>
      <c r="C9" s="8" t="s">
        <v>42</v>
      </c>
      <c r="D9" s="29" t="s">
        <v>1</v>
      </c>
      <c r="E9" s="19"/>
      <c r="F9" s="1">
        <v>2208.8200000000002</v>
      </c>
      <c r="G9" s="1">
        <v>2004.92</v>
      </c>
      <c r="H9" s="1">
        <v>203.9</v>
      </c>
      <c r="I9" s="246"/>
      <c r="J9" s="1">
        <v>1369.5416702415216</v>
      </c>
      <c r="K9" s="1">
        <v>1369.5416702415216</v>
      </c>
      <c r="L9" s="1"/>
      <c r="M9" s="246"/>
      <c r="N9" s="1">
        <v>2011.1000000000001</v>
      </c>
      <c r="O9" s="1">
        <v>2011.1000000000001</v>
      </c>
      <c r="P9" s="1">
        <v>0</v>
      </c>
      <c r="Q9" s="246"/>
      <c r="R9" s="1">
        <v>0</v>
      </c>
      <c r="S9" s="1">
        <v>0</v>
      </c>
      <c r="T9" s="1">
        <v>0</v>
      </c>
      <c r="V9" s="4">
        <f t="shared" si="0"/>
        <v>5589.4616702415215</v>
      </c>
      <c r="W9" s="4">
        <f t="shared" si="0"/>
        <v>5385.5616702415218</v>
      </c>
      <c r="X9" s="4">
        <f t="shared" si="0"/>
        <v>203.9</v>
      </c>
      <c r="Z9" s="172">
        <f t="shared" si="1"/>
        <v>3578.361670241522</v>
      </c>
      <c r="AB9" s="247">
        <v>0</v>
      </c>
      <c r="AC9" s="247">
        <v>0</v>
      </c>
      <c r="AD9" s="247">
        <v>0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</row>
    <row r="10" spans="1:49" x14ac:dyDescent="0.2">
      <c r="A10" s="8">
        <v>10500</v>
      </c>
      <c r="B10" s="8" t="s">
        <v>23</v>
      </c>
      <c r="C10" s="8" t="s">
        <v>18</v>
      </c>
      <c r="D10" s="29" t="s">
        <v>3</v>
      </c>
      <c r="E10" s="19"/>
      <c r="F10" s="1">
        <v>9238</v>
      </c>
      <c r="G10" s="1">
        <v>8017</v>
      </c>
      <c r="H10" s="1">
        <v>1221</v>
      </c>
      <c r="I10" s="246"/>
      <c r="J10" s="1">
        <v>4251.5006629901191</v>
      </c>
      <c r="K10" s="1">
        <v>4251.5006629901191</v>
      </c>
      <c r="L10" s="1"/>
      <c r="M10" s="246"/>
      <c r="N10" s="1">
        <v>92.17</v>
      </c>
      <c r="O10" s="1">
        <v>81.17</v>
      </c>
      <c r="P10" s="1">
        <v>11</v>
      </c>
      <c r="Q10" s="246"/>
      <c r="R10" s="1">
        <v>226.5</v>
      </c>
      <c r="S10" s="1">
        <v>170.2</v>
      </c>
      <c r="T10" s="1">
        <v>56.3</v>
      </c>
      <c r="V10" s="4">
        <f t="shared" si="0"/>
        <v>13808.17066299012</v>
      </c>
      <c r="W10" s="4">
        <f t="shared" si="0"/>
        <v>12519.870662990121</v>
      </c>
      <c r="X10" s="4">
        <f t="shared" si="0"/>
        <v>1288.3</v>
      </c>
      <c r="Z10" s="172">
        <f t="shared" si="1"/>
        <v>13489.500662990118</v>
      </c>
      <c r="AB10" s="247">
        <v>0</v>
      </c>
      <c r="AC10" s="247">
        <v>0</v>
      </c>
      <c r="AD10" s="247">
        <v>0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</row>
    <row r="11" spans="1:49" x14ac:dyDescent="0.2">
      <c r="A11" s="8">
        <v>10550</v>
      </c>
      <c r="B11" s="8" t="s">
        <v>83</v>
      </c>
      <c r="C11" s="8" t="s">
        <v>74</v>
      </c>
      <c r="D11" s="29" t="s">
        <v>1</v>
      </c>
      <c r="E11" s="19"/>
      <c r="F11" s="1">
        <v>3824</v>
      </c>
      <c r="G11" s="1">
        <v>3624</v>
      </c>
      <c r="H11" s="1">
        <v>200</v>
      </c>
      <c r="I11" s="246"/>
      <c r="J11" s="1">
        <v>883.58774368221952</v>
      </c>
      <c r="K11" s="1">
        <v>883.58774368221952</v>
      </c>
      <c r="L11" s="1"/>
      <c r="M11" s="246"/>
      <c r="N11" s="1">
        <v>4275.3</v>
      </c>
      <c r="O11" s="1">
        <v>4275.3</v>
      </c>
      <c r="P11" s="1">
        <v>0</v>
      </c>
      <c r="Q11" s="246"/>
      <c r="R11" s="1">
        <v>0</v>
      </c>
      <c r="S11" s="1">
        <v>0</v>
      </c>
      <c r="T11" s="1">
        <v>0</v>
      </c>
      <c r="V11" s="4">
        <f t="shared" si="0"/>
        <v>8982.8877436822204</v>
      </c>
      <c r="W11" s="4">
        <f t="shared" si="0"/>
        <v>8782.8877436822204</v>
      </c>
      <c r="X11" s="4">
        <f t="shared" si="0"/>
        <v>200</v>
      </c>
      <c r="Z11" s="172">
        <f t="shared" si="1"/>
        <v>4707.5877436822193</v>
      </c>
      <c r="AB11" s="247"/>
      <c r="AC11" s="247"/>
      <c r="AD11" s="247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</row>
    <row r="12" spans="1:49" x14ac:dyDescent="0.2">
      <c r="A12" s="8">
        <v>10600</v>
      </c>
      <c r="B12" s="8" t="s">
        <v>51</v>
      </c>
      <c r="C12" s="8" t="s">
        <v>43</v>
      </c>
      <c r="D12" s="29" t="s">
        <v>4</v>
      </c>
      <c r="E12" s="19"/>
      <c r="F12" s="1">
        <v>977.62</v>
      </c>
      <c r="G12" s="1">
        <f>F12-H12</f>
        <v>866.17</v>
      </c>
      <c r="H12" s="1">
        <v>111.45</v>
      </c>
      <c r="I12" s="246"/>
      <c r="J12" s="1">
        <v>221.61323241454636</v>
      </c>
      <c r="K12" s="1">
        <v>221.61323241454636</v>
      </c>
      <c r="L12" s="1"/>
      <c r="M12" s="246"/>
      <c r="N12" s="1">
        <v>401.98</v>
      </c>
      <c r="O12" s="1">
        <v>401.98</v>
      </c>
      <c r="P12" s="1">
        <v>0</v>
      </c>
      <c r="Q12" s="246"/>
      <c r="R12" s="1">
        <v>0</v>
      </c>
      <c r="S12" s="1">
        <v>0</v>
      </c>
      <c r="T12" s="1">
        <v>0</v>
      </c>
      <c r="V12" s="4">
        <f t="shared" si="0"/>
        <v>1601.2132324145464</v>
      </c>
      <c r="W12" s="4">
        <f t="shared" si="0"/>
        <v>1489.7632324145466</v>
      </c>
      <c r="X12" s="4">
        <f t="shared" si="0"/>
        <v>111.45</v>
      </c>
      <c r="Z12" s="172">
        <f t="shared" si="1"/>
        <v>1199.2332324145464</v>
      </c>
      <c r="AB12" s="247">
        <v>0</v>
      </c>
      <c r="AC12" s="247">
        <v>0</v>
      </c>
      <c r="AD12" s="247">
        <v>0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</row>
    <row r="13" spans="1:49" x14ac:dyDescent="0.2">
      <c r="A13" s="8">
        <v>10650</v>
      </c>
      <c r="B13" s="8" t="s">
        <v>84</v>
      </c>
      <c r="C13" s="8" t="s">
        <v>73</v>
      </c>
      <c r="D13" s="29" t="s">
        <v>1</v>
      </c>
      <c r="E13" s="19"/>
      <c r="F13" s="1">
        <v>626.52</v>
      </c>
      <c r="G13" s="1">
        <f>F13-H13</f>
        <v>600.46</v>
      </c>
      <c r="H13" s="1">
        <v>26.06</v>
      </c>
      <c r="I13" s="246"/>
      <c r="J13" s="1">
        <v>146.3470370299255</v>
      </c>
      <c r="K13" s="1">
        <v>146.3470370299255</v>
      </c>
      <c r="L13" s="1"/>
      <c r="M13" s="246"/>
      <c r="N13" s="1">
        <v>231.55</v>
      </c>
      <c r="O13" s="1">
        <v>227.86</v>
      </c>
      <c r="P13" s="1">
        <v>3.69</v>
      </c>
      <c r="Q13" s="246"/>
      <c r="R13" s="1">
        <v>0</v>
      </c>
      <c r="S13" s="1">
        <v>0</v>
      </c>
      <c r="T13" s="1">
        <v>0</v>
      </c>
      <c r="V13" s="4">
        <f t="shared" si="0"/>
        <v>1004.4170370299255</v>
      </c>
      <c r="W13" s="4">
        <f t="shared" si="0"/>
        <v>974.6670370299255</v>
      </c>
      <c r="X13" s="4">
        <f t="shared" si="0"/>
        <v>29.75</v>
      </c>
      <c r="Z13" s="172">
        <f t="shared" si="1"/>
        <v>772.86703702992554</v>
      </c>
      <c r="AB13" s="247"/>
      <c r="AC13" s="247"/>
      <c r="AD13" s="247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</row>
    <row r="14" spans="1:49" x14ac:dyDescent="0.2">
      <c r="A14" s="8">
        <v>10750</v>
      </c>
      <c r="B14" s="8" t="s">
        <v>52</v>
      </c>
      <c r="C14" s="8" t="s">
        <v>19</v>
      </c>
      <c r="D14" s="29" t="s">
        <v>3</v>
      </c>
      <c r="E14" s="19"/>
      <c r="F14" s="1">
        <v>20314.72</v>
      </c>
      <c r="G14" s="1">
        <v>18815.490000000002</v>
      </c>
      <c r="H14" s="1">
        <v>1499.23</v>
      </c>
      <c r="I14" s="246"/>
      <c r="J14" s="1">
        <v>6095.8815042667275</v>
      </c>
      <c r="K14" s="1">
        <v>6095.8815042667275</v>
      </c>
      <c r="L14" s="1"/>
      <c r="M14" s="246"/>
      <c r="N14" s="1">
        <v>3.63</v>
      </c>
      <c r="O14" s="1">
        <v>3.63</v>
      </c>
      <c r="P14" s="1">
        <v>0</v>
      </c>
      <c r="Q14" s="246"/>
      <c r="R14" s="1">
        <v>1118.0999999999999</v>
      </c>
      <c r="S14" s="1">
        <v>1118.0999999999999</v>
      </c>
      <c r="T14" s="1">
        <v>0</v>
      </c>
      <c r="V14" s="4">
        <f t="shared" si="0"/>
        <v>27532.331504266727</v>
      </c>
      <c r="W14" s="4">
        <f t="shared" si="0"/>
        <v>26033.101504266728</v>
      </c>
      <c r="X14" s="4">
        <f t="shared" si="0"/>
        <v>1499.23</v>
      </c>
      <c r="Z14" s="172">
        <f t="shared" si="1"/>
        <v>26410.601504266728</v>
      </c>
      <c r="AB14" s="247"/>
      <c r="AC14" s="247"/>
      <c r="AD14" s="247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</row>
    <row r="15" spans="1:49" x14ac:dyDescent="0.2">
      <c r="A15" s="8">
        <v>10800</v>
      </c>
      <c r="B15" s="8" t="s">
        <v>85</v>
      </c>
      <c r="C15" s="8" t="s">
        <v>22</v>
      </c>
      <c r="D15" s="29" t="s">
        <v>1</v>
      </c>
      <c r="E15" s="19"/>
      <c r="F15" s="1">
        <v>0</v>
      </c>
      <c r="G15" s="1">
        <v>0</v>
      </c>
      <c r="H15" s="1">
        <v>0</v>
      </c>
      <c r="I15" s="246"/>
      <c r="J15" s="1">
        <v>116.40999548813564</v>
      </c>
      <c r="K15" s="1">
        <v>116.40999548813564</v>
      </c>
      <c r="L15" s="1"/>
      <c r="M15" s="246"/>
      <c r="N15" s="1">
        <v>0</v>
      </c>
      <c r="O15" s="1">
        <v>0</v>
      </c>
      <c r="P15" s="1">
        <v>0</v>
      </c>
      <c r="Q15" s="246"/>
      <c r="R15" s="1">
        <v>0</v>
      </c>
      <c r="S15" s="1">
        <v>0</v>
      </c>
      <c r="T15" s="1">
        <v>0</v>
      </c>
      <c r="V15" s="4">
        <f t="shared" si="0"/>
        <v>116.40999548813564</v>
      </c>
      <c r="W15" s="4">
        <f t="shared" si="0"/>
        <v>116.40999548813564</v>
      </c>
      <c r="X15" s="4">
        <f t="shared" si="0"/>
        <v>0</v>
      </c>
      <c r="Z15" s="172">
        <f t="shared" si="1"/>
        <v>116.40999548813564</v>
      </c>
      <c r="AB15" s="247"/>
      <c r="AC15" s="247"/>
      <c r="AD15" s="247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</row>
    <row r="16" spans="1:49" x14ac:dyDescent="0.2">
      <c r="A16" s="8">
        <v>10850</v>
      </c>
      <c r="B16" s="8" t="s">
        <v>86</v>
      </c>
      <c r="C16" s="8" t="s">
        <v>42</v>
      </c>
      <c r="D16" s="29" t="s">
        <v>1</v>
      </c>
      <c r="E16" s="19"/>
      <c r="F16" s="1">
        <v>500.7</v>
      </c>
      <c r="G16" s="1">
        <f>F16-H16</f>
        <v>479.87</v>
      </c>
      <c r="H16" s="1">
        <v>20.83</v>
      </c>
      <c r="I16" s="246"/>
      <c r="J16" s="1">
        <v>15.712640926713011</v>
      </c>
      <c r="K16" s="1">
        <v>15.712640926713011</v>
      </c>
      <c r="L16" s="1"/>
      <c r="M16" s="246"/>
      <c r="N16" s="1">
        <v>688.87</v>
      </c>
      <c r="O16" s="1">
        <v>688.87</v>
      </c>
      <c r="P16" s="1">
        <v>0</v>
      </c>
      <c r="Q16" s="246"/>
      <c r="R16" s="1">
        <v>0</v>
      </c>
      <c r="S16" s="1">
        <v>0</v>
      </c>
      <c r="T16" s="1">
        <v>0</v>
      </c>
      <c r="V16" s="4">
        <f t="shared" si="0"/>
        <v>1205.2826409267129</v>
      </c>
      <c r="W16" s="4">
        <f t="shared" si="0"/>
        <v>1184.452640926713</v>
      </c>
      <c r="X16" s="4">
        <f t="shared" si="0"/>
        <v>20.83</v>
      </c>
      <c r="Z16" s="172">
        <f t="shared" si="1"/>
        <v>516.41264092671304</v>
      </c>
      <c r="AB16" s="247"/>
      <c r="AC16" s="247"/>
      <c r="AD16" s="247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</row>
    <row r="17" spans="1:49" x14ac:dyDescent="0.2">
      <c r="A17" s="8">
        <v>10900</v>
      </c>
      <c r="B17" s="8" t="s">
        <v>87</v>
      </c>
      <c r="C17" s="8" t="s">
        <v>19</v>
      </c>
      <c r="D17" s="29" t="s">
        <v>4</v>
      </c>
      <c r="E17" s="19"/>
      <c r="F17" s="1">
        <v>7076</v>
      </c>
      <c r="G17" s="1">
        <v>6255</v>
      </c>
      <c r="H17" s="1">
        <v>821</v>
      </c>
      <c r="I17" s="246"/>
      <c r="J17" s="1">
        <v>598.04634227969461</v>
      </c>
      <c r="K17" s="1">
        <v>598.04634227969461</v>
      </c>
      <c r="L17" s="1"/>
      <c r="M17" s="246"/>
      <c r="N17" s="1">
        <v>1989.22</v>
      </c>
      <c r="O17" s="1">
        <v>1989.22</v>
      </c>
      <c r="P17" s="1">
        <v>0</v>
      </c>
      <c r="Q17" s="246"/>
      <c r="R17" s="1">
        <v>0</v>
      </c>
      <c r="S17" s="1">
        <v>0</v>
      </c>
      <c r="T17" s="1">
        <v>0</v>
      </c>
      <c r="V17" s="4">
        <f t="shared" si="0"/>
        <v>9663.2663422796941</v>
      </c>
      <c r="W17" s="4">
        <f t="shared" si="0"/>
        <v>8842.2663422796941</v>
      </c>
      <c r="X17" s="4">
        <f t="shared" si="0"/>
        <v>821</v>
      </c>
      <c r="Z17" s="172">
        <f t="shared" si="1"/>
        <v>7674.0463422796947</v>
      </c>
      <c r="AB17" s="247">
        <v>0</v>
      </c>
      <c r="AC17" s="247">
        <v>0</v>
      </c>
      <c r="AD17" s="247">
        <v>0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</row>
    <row r="18" spans="1:49" x14ac:dyDescent="0.2">
      <c r="A18" s="8">
        <v>10950</v>
      </c>
      <c r="B18" s="8" t="s">
        <v>88</v>
      </c>
      <c r="C18" s="8" t="s">
        <v>42</v>
      </c>
      <c r="D18" s="29" t="s">
        <v>1</v>
      </c>
      <c r="E18" s="19"/>
      <c r="F18" s="1">
        <v>117.5</v>
      </c>
      <c r="G18" s="1">
        <v>90.92</v>
      </c>
      <c r="H18" s="1">
        <v>26.58</v>
      </c>
      <c r="I18" s="246"/>
      <c r="J18" s="1">
        <v>60.033655172165091</v>
      </c>
      <c r="K18" s="1">
        <v>60.033655172165091</v>
      </c>
      <c r="L18" s="1"/>
      <c r="M18" s="246"/>
      <c r="N18" s="1">
        <v>161.66</v>
      </c>
      <c r="O18" s="1">
        <v>161.66</v>
      </c>
      <c r="P18" s="1">
        <v>0</v>
      </c>
      <c r="Q18" s="246"/>
      <c r="R18" s="1">
        <v>0</v>
      </c>
      <c r="S18" s="1">
        <v>0</v>
      </c>
      <c r="T18" s="1">
        <v>0</v>
      </c>
      <c r="V18" s="4">
        <f t="shared" si="0"/>
        <v>339.19365517216505</v>
      </c>
      <c r="W18" s="4">
        <f t="shared" si="0"/>
        <v>312.61365517216507</v>
      </c>
      <c r="X18" s="4">
        <f t="shared" si="0"/>
        <v>26.58</v>
      </c>
      <c r="Z18" s="172">
        <f t="shared" si="1"/>
        <v>177.53365517216508</v>
      </c>
      <c r="AB18" s="247">
        <v>0</v>
      </c>
      <c r="AC18" s="247">
        <v>0</v>
      </c>
      <c r="AD18" s="247">
        <v>0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</row>
    <row r="19" spans="1:49" x14ac:dyDescent="0.2">
      <c r="A19" s="8">
        <v>11150</v>
      </c>
      <c r="B19" s="8" t="s">
        <v>89</v>
      </c>
      <c r="C19" s="8" t="s">
        <v>42</v>
      </c>
      <c r="D19" s="29" t="s">
        <v>1</v>
      </c>
      <c r="E19" s="19"/>
      <c r="F19" s="1">
        <v>0</v>
      </c>
      <c r="G19" s="1">
        <v>0</v>
      </c>
      <c r="H19" s="1">
        <v>0</v>
      </c>
      <c r="I19" s="246"/>
      <c r="J19" s="1">
        <v>59.978057687078206</v>
      </c>
      <c r="K19" s="1">
        <v>59.978057687078206</v>
      </c>
      <c r="L19" s="1"/>
      <c r="M19" s="246"/>
      <c r="N19" s="1">
        <v>217.4</v>
      </c>
      <c r="O19" s="1">
        <v>217.4</v>
      </c>
      <c r="P19" s="1">
        <v>0</v>
      </c>
      <c r="Q19" s="246"/>
      <c r="R19" s="1">
        <v>0</v>
      </c>
      <c r="S19" s="1">
        <v>0</v>
      </c>
      <c r="T19" s="1">
        <v>0</v>
      </c>
      <c r="V19" s="4">
        <f t="shared" si="0"/>
        <v>277.37805768707824</v>
      </c>
      <c r="W19" s="4">
        <f t="shared" si="0"/>
        <v>277.37805768707824</v>
      </c>
      <c r="X19" s="4">
        <f t="shared" si="0"/>
        <v>0</v>
      </c>
      <c r="Z19" s="172">
        <f t="shared" si="1"/>
        <v>59.978057687078206</v>
      </c>
      <c r="AB19" s="247"/>
      <c r="AC19" s="247"/>
      <c r="AD19" s="247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</row>
    <row r="20" spans="1:49" x14ac:dyDescent="0.2">
      <c r="A20" s="8">
        <v>11200</v>
      </c>
      <c r="B20" s="8" t="s">
        <v>90</v>
      </c>
      <c r="C20" s="8" t="s">
        <v>42</v>
      </c>
      <c r="D20" s="29" t="s">
        <v>1</v>
      </c>
      <c r="E20" s="19"/>
      <c r="F20" s="1">
        <v>0</v>
      </c>
      <c r="G20" s="1">
        <v>0</v>
      </c>
      <c r="H20" s="1">
        <v>0</v>
      </c>
      <c r="I20" s="246"/>
      <c r="J20" s="1">
        <v>33.606473333626504</v>
      </c>
      <c r="K20" s="1">
        <v>33.606473333626504</v>
      </c>
      <c r="L20" s="1"/>
      <c r="M20" s="246"/>
      <c r="N20" s="1">
        <v>0</v>
      </c>
      <c r="O20" s="1">
        <v>0</v>
      </c>
      <c r="P20" s="1">
        <v>0</v>
      </c>
      <c r="Q20" s="246"/>
      <c r="R20" s="1">
        <v>15</v>
      </c>
      <c r="S20" s="1">
        <v>13.5</v>
      </c>
      <c r="T20" s="1">
        <v>1.5</v>
      </c>
      <c r="V20" s="4">
        <f t="shared" si="0"/>
        <v>48.606473333626504</v>
      </c>
      <c r="W20" s="4">
        <f t="shared" si="0"/>
        <v>47.106473333626504</v>
      </c>
      <c r="X20" s="4">
        <f t="shared" si="0"/>
        <v>1.5</v>
      </c>
      <c r="Z20" s="172">
        <f t="shared" si="1"/>
        <v>33.606473333626504</v>
      </c>
      <c r="AB20" s="247"/>
      <c r="AC20" s="247"/>
      <c r="AD20" s="247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</row>
    <row r="21" spans="1:49" x14ac:dyDescent="0.2">
      <c r="A21" s="8">
        <v>11250</v>
      </c>
      <c r="B21" s="8" t="s">
        <v>91</v>
      </c>
      <c r="C21" s="8" t="s">
        <v>42</v>
      </c>
      <c r="D21" s="29" t="s">
        <v>1</v>
      </c>
      <c r="E21" s="19"/>
      <c r="F21" s="1">
        <v>0</v>
      </c>
      <c r="G21" s="1">
        <v>0</v>
      </c>
      <c r="H21" s="1">
        <v>0</v>
      </c>
      <c r="I21" s="246"/>
      <c r="J21" s="1">
        <v>614.53676056244251</v>
      </c>
      <c r="K21" s="1">
        <v>614.53676056244251</v>
      </c>
      <c r="L21" s="1"/>
      <c r="M21" s="246"/>
      <c r="N21" s="1">
        <v>2136.6800000000003</v>
      </c>
      <c r="O21" s="1">
        <v>1567.4199999999998</v>
      </c>
      <c r="P21" s="1">
        <v>569.26</v>
      </c>
      <c r="Q21" s="246"/>
      <c r="R21" s="1">
        <v>0</v>
      </c>
      <c r="S21" s="1">
        <v>0</v>
      </c>
      <c r="T21" s="1">
        <v>0</v>
      </c>
      <c r="V21" s="4">
        <f t="shared" si="0"/>
        <v>2751.2167605624427</v>
      </c>
      <c r="W21" s="4">
        <f t="shared" si="0"/>
        <v>2181.9567605624425</v>
      </c>
      <c r="X21" s="4">
        <f t="shared" si="0"/>
        <v>569.26</v>
      </c>
      <c r="Z21" s="172">
        <f t="shared" si="1"/>
        <v>614.53676056244251</v>
      </c>
      <c r="AB21" s="247">
        <v>0</v>
      </c>
      <c r="AC21" s="247">
        <v>0</v>
      </c>
      <c r="AD21" s="247">
        <v>0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</row>
    <row r="22" spans="1:49" x14ac:dyDescent="0.2">
      <c r="A22" s="8">
        <v>11300</v>
      </c>
      <c r="B22" s="8" t="s">
        <v>92</v>
      </c>
      <c r="C22" s="8" t="s">
        <v>18</v>
      </c>
      <c r="D22" s="29" t="s">
        <v>3</v>
      </c>
      <c r="E22" s="19"/>
      <c r="F22" s="1">
        <v>2066.87</v>
      </c>
      <c r="G22" s="1">
        <f>F22-H22</f>
        <v>1834.9699999999998</v>
      </c>
      <c r="H22" s="1">
        <v>231.9</v>
      </c>
      <c r="I22" s="246"/>
      <c r="J22" s="1">
        <v>452.00454571647469</v>
      </c>
      <c r="K22" s="1">
        <v>452.00454571647469</v>
      </c>
      <c r="L22" s="1"/>
      <c r="M22" s="246"/>
      <c r="N22" s="1">
        <v>10.36</v>
      </c>
      <c r="O22" s="1">
        <v>10.36</v>
      </c>
      <c r="P22" s="1">
        <v>0</v>
      </c>
      <c r="Q22" s="246"/>
      <c r="R22" s="1">
        <v>0</v>
      </c>
      <c r="S22" s="1">
        <v>0</v>
      </c>
      <c r="T22" s="1">
        <v>0</v>
      </c>
      <c r="V22" s="4">
        <f t="shared" si="0"/>
        <v>2529.2345457164747</v>
      </c>
      <c r="W22" s="4">
        <f t="shared" si="0"/>
        <v>2297.3345457164742</v>
      </c>
      <c r="X22" s="4">
        <f t="shared" si="0"/>
        <v>231.9</v>
      </c>
      <c r="Z22" s="172">
        <f t="shared" si="1"/>
        <v>2518.8745457164746</v>
      </c>
      <c r="AB22" s="247">
        <v>0</v>
      </c>
      <c r="AC22" s="247">
        <v>0</v>
      </c>
      <c r="AD22" s="247">
        <v>0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</row>
    <row r="23" spans="1:49" x14ac:dyDescent="0.2">
      <c r="A23" s="8">
        <v>11350</v>
      </c>
      <c r="B23" s="8" t="s">
        <v>93</v>
      </c>
      <c r="C23" s="8" t="s">
        <v>20</v>
      </c>
      <c r="D23" s="29" t="s">
        <v>4</v>
      </c>
      <c r="E23" s="19"/>
      <c r="F23" s="1">
        <v>5147</v>
      </c>
      <c r="G23" s="1">
        <f>F23-H23</f>
        <v>4812.96</v>
      </c>
      <c r="H23" s="1">
        <v>334.04</v>
      </c>
      <c r="I23" s="246"/>
      <c r="J23" s="1">
        <v>889.12102535617112</v>
      </c>
      <c r="K23" s="1">
        <v>889.12102535617112</v>
      </c>
      <c r="L23" s="1"/>
      <c r="M23" s="246"/>
      <c r="N23" s="1">
        <v>1519.55</v>
      </c>
      <c r="O23" s="1">
        <v>1478.07</v>
      </c>
      <c r="P23" s="1">
        <v>41.48</v>
      </c>
      <c r="Q23" s="246"/>
      <c r="R23" s="1">
        <v>0</v>
      </c>
      <c r="S23" s="1">
        <v>0</v>
      </c>
      <c r="T23" s="1">
        <v>0</v>
      </c>
      <c r="V23" s="4">
        <f t="shared" si="0"/>
        <v>7555.6710253561714</v>
      </c>
      <c r="W23" s="4">
        <f t="shared" si="0"/>
        <v>7180.151025356171</v>
      </c>
      <c r="X23" s="4">
        <f t="shared" si="0"/>
        <v>375.52000000000004</v>
      </c>
      <c r="Z23" s="172">
        <f t="shared" si="1"/>
        <v>6036.1210253561712</v>
      </c>
      <c r="AB23" s="247">
        <v>0</v>
      </c>
      <c r="AC23" s="247">
        <v>0</v>
      </c>
      <c r="AD23" s="247">
        <v>0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</row>
    <row r="24" spans="1:49" x14ac:dyDescent="0.2">
      <c r="A24" s="8">
        <v>11400</v>
      </c>
      <c r="B24" s="8" t="s">
        <v>94</v>
      </c>
      <c r="C24" s="8" t="s">
        <v>42</v>
      </c>
      <c r="D24" s="29" t="s">
        <v>1</v>
      </c>
      <c r="E24" s="19"/>
      <c r="F24" s="1">
        <v>619.36</v>
      </c>
      <c r="G24" s="1">
        <f>F24-H24</f>
        <v>593.59</v>
      </c>
      <c r="H24" s="1">
        <v>25.77</v>
      </c>
      <c r="I24" s="246"/>
      <c r="J24" s="1">
        <v>0</v>
      </c>
      <c r="K24" s="1">
        <v>0</v>
      </c>
      <c r="L24" s="1"/>
      <c r="M24" s="246"/>
      <c r="N24" s="1">
        <v>210.17000000000002</v>
      </c>
      <c r="O24" s="1">
        <v>210.17000000000002</v>
      </c>
      <c r="P24" s="1">
        <v>0</v>
      </c>
      <c r="Q24" s="246"/>
      <c r="R24" s="1">
        <v>75</v>
      </c>
      <c r="S24" s="1">
        <v>75</v>
      </c>
      <c r="T24" s="1">
        <v>0</v>
      </c>
      <c r="V24" s="4">
        <f t="shared" si="0"/>
        <v>904.53</v>
      </c>
      <c r="W24" s="4">
        <f t="shared" si="0"/>
        <v>878.76</v>
      </c>
      <c r="X24" s="4">
        <f t="shared" si="0"/>
        <v>25.77</v>
      </c>
      <c r="Z24" s="172">
        <f t="shared" si="1"/>
        <v>619.36</v>
      </c>
      <c r="AB24" s="247"/>
      <c r="AC24" s="247"/>
      <c r="AD24" s="247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</row>
    <row r="25" spans="1:49" x14ac:dyDescent="0.2">
      <c r="A25" s="8">
        <v>11450</v>
      </c>
      <c r="B25" s="8" t="s">
        <v>76</v>
      </c>
      <c r="C25" s="8" t="s">
        <v>193</v>
      </c>
      <c r="D25" s="29" t="s">
        <v>3</v>
      </c>
      <c r="E25" s="19"/>
      <c r="F25" s="1">
        <v>10415.84</v>
      </c>
      <c r="G25" s="1">
        <v>7833.42</v>
      </c>
      <c r="H25" s="1">
        <v>2582.42</v>
      </c>
      <c r="I25" s="246"/>
      <c r="J25" s="1">
        <v>3058.5781291575831</v>
      </c>
      <c r="K25" s="1">
        <v>3058.5781291575831</v>
      </c>
      <c r="L25" s="1"/>
      <c r="M25" s="246"/>
      <c r="N25" s="1">
        <v>7.54</v>
      </c>
      <c r="O25" s="1">
        <v>7.54</v>
      </c>
      <c r="P25" s="1">
        <v>0</v>
      </c>
      <c r="Q25" s="246"/>
      <c r="R25" s="1">
        <v>0</v>
      </c>
      <c r="S25" s="1">
        <v>0</v>
      </c>
      <c r="T25" s="1">
        <v>0</v>
      </c>
      <c r="V25" s="4">
        <f t="shared" si="0"/>
        <v>13481.958129157585</v>
      </c>
      <c r="W25" s="4">
        <f t="shared" si="0"/>
        <v>10899.538129157583</v>
      </c>
      <c r="X25" s="4">
        <f t="shared" si="0"/>
        <v>2582.42</v>
      </c>
      <c r="Z25" s="172">
        <f t="shared" si="1"/>
        <v>13474.418129157584</v>
      </c>
      <c r="AB25" s="247">
        <v>0.35</v>
      </c>
      <c r="AC25" s="247">
        <v>0</v>
      </c>
      <c r="AD25" s="247">
        <v>0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</row>
    <row r="26" spans="1:49" x14ac:dyDescent="0.2">
      <c r="A26" s="8">
        <v>11500</v>
      </c>
      <c r="B26" s="8" t="s">
        <v>53</v>
      </c>
      <c r="C26" s="8" t="s">
        <v>193</v>
      </c>
      <c r="D26" s="29" t="s">
        <v>3</v>
      </c>
      <c r="E26" s="19"/>
      <c r="F26" s="1">
        <v>11647.52</v>
      </c>
      <c r="G26" s="1">
        <v>8821.0300000000007</v>
      </c>
      <c r="H26" s="1">
        <v>2826.49</v>
      </c>
      <c r="I26" s="246"/>
      <c r="J26" s="1">
        <v>2472.6570737283614</v>
      </c>
      <c r="K26" s="1">
        <v>2472.6570737283614</v>
      </c>
      <c r="L26" s="1"/>
      <c r="M26" s="246"/>
      <c r="N26" s="1">
        <v>8.84</v>
      </c>
      <c r="O26" s="1">
        <v>8.84</v>
      </c>
      <c r="P26" s="1">
        <v>0</v>
      </c>
      <c r="Q26" s="246"/>
      <c r="R26" s="1">
        <v>0</v>
      </c>
      <c r="S26" s="1">
        <v>0</v>
      </c>
      <c r="T26" s="1">
        <v>0</v>
      </c>
      <c r="V26" s="4">
        <f t="shared" si="0"/>
        <v>14129.017073728362</v>
      </c>
      <c r="W26" s="4">
        <f t="shared" si="0"/>
        <v>11302.527073728363</v>
      </c>
      <c r="X26" s="4">
        <f t="shared" si="0"/>
        <v>2826.49</v>
      </c>
      <c r="Z26" s="172">
        <f t="shared" si="1"/>
        <v>14120.177073728362</v>
      </c>
      <c r="AB26" s="247">
        <v>0</v>
      </c>
      <c r="AC26" s="247">
        <v>0</v>
      </c>
      <c r="AD26" s="247">
        <v>0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</row>
    <row r="27" spans="1:49" x14ac:dyDescent="0.2">
      <c r="A27" s="8">
        <v>11520</v>
      </c>
      <c r="B27" s="8" t="s">
        <v>95</v>
      </c>
      <c r="C27" s="8" t="s">
        <v>18</v>
      </c>
      <c r="D27" s="29" t="s">
        <v>3</v>
      </c>
      <c r="E27" s="19"/>
      <c r="F27" s="1">
        <v>6702</v>
      </c>
      <c r="G27" s="1">
        <v>6025</v>
      </c>
      <c r="H27" s="1">
        <v>677</v>
      </c>
      <c r="I27" s="246"/>
      <c r="J27" s="1">
        <v>2043.8120933235959</v>
      </c>
      <c r="K27" s="1">
        <v>2043.8120933235959</v>
      </c>
      <c r="L27" s="1"/>
      <c r="M27" s="246"/>
      <c r="N27" s="1">
        <v>20</v>
      </c>
      <c r="O27" s="1">
        <v>20</v>
      </c>
      <c r="P27" s="1">
        <v>0</v>
      </c>
      <c r="Q27" s="246"/>
      <c r="R27" s="1">
        <v>204</v>
      </c>
      <c r="S27" s="1">
        <v>204</v>
      </c>
      <c r="T27" s="1">
        <v>0</v>
      </c>
      <c r="V27" s="4">
        <f t="shared" si="0"/>
        <v>8969.812093323595</v>
      </c>
      <c r="W27" s="4">
        <f t="shared" si="0"/>
        <v>8292.812093323595</v>
      </c>
      <c r="X27" s="4">
        <f t="shared" si="0"/>
        <v>677</v>
      </c>
      <c r="Z27" s="172">
        <f t="shared" si="1"/>
        <v>8745.812093323595</v>
      </c>
      <c r="AB27" s="247">
        <v>0</v>
      </c>
      <c r="AC27" s="247">
        <v>0</v>
      </c>
      <c r="AD27" s="247">
        <v>0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</row>
    <row r="28" spans="1:49" x14ac:dyDescent="0.2">
      <c r="A28" s="8">
        <v>11570</v>
      </c>
      <c r="B28" s="8" t="s">
        <v>96</v>
      </c>
      <c r="C28" s="8" t="s">
        <v>18</v>
      </c>
      <c r="D28" s="29" t="s">
        <v>3</v>
      </c>
      <c r="E28" s="19"/>
      <c r="F28" s="1">
        <v>21733</v>
      </c>
      <c r="G28" s="1">
        <f>F28-H28</f>
        <v>17440.73</v>
      </c>
      <c r="H28" s="1">
        <v>4292.2700000000004</v>
      </c>
      <c r="I28" s="246"/>
      <c r="J28" s="1">
        <v>3641.0859178033088</v>
      </c>
      <c r="K28" s="1">
        <v>3641.0859178033088</v>
      </c>
      <c r="L28" s="1"/>
      <c r="M28" s="246"/>
      <c r="N28" s="1">
        <v>0</v>
      </c>
      <c r="O28" s="1">
        <v>0</v>
      </c>
      <c r="P28" s="1">
        <v>0</v>
      </c>
      <c r="Q28" s="246"/>
      <c r="R28" s="1">
        <v>0</v>
      </c>
      <c r="S28" s="1">
        <v>0</v>
      </c>
      <c r="T28" s="1">
        <v>0</v>
      </c>
      <c r="V28" s="4">
        <f t="shared" si="0"/>
        <v>25374.08591780331</v>
      </c>
      <c r="W28" s="4">
        <f t="shared" si="0"/>
        <v>21081.815917803309</v>
      </c>
      <c r="X28" s="4">
        <f t="shared" si="0"/>
        <v>4292.2700000000004</v>
      </c>
      <c r="Z28" s="172">
        <f t="shared" si="1"/>
        <v>25374.08591780331</v>
      </c>
      <c r="AB28" s="247">
        <v>0</v>
      </c>
      <c r="AC28" s="247">
        <v>0</v>
      </c>
      <c r="AD28" s="247">
        <v>0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</row>
    <row r="29" spans="1:49" x14ac:dyDescent="0.2">
      <c r="A29" s="8">
        <v>11600</v>
      </c>
      <c r="B29" s="8" t="s">
        <v>97</v>
      </c>
      <c r="C29" s="8" t="s">
        <v>75</v>
      </c>
      <c r="D29" s="29" t="s">
        <v>1</v>
      </c>
      <c r="E29" s="19"/>
      <c r="F29" s="1">
        <v>0</v>
      </c>
      <c r="G29" s="1">
        <v>0</v>
      </c>
      <c r="H29" s="1">
        <v>0</v>
      </c>
      <c r="I29" s="246"/>
      <c r="J29" s="1">
        <v>9.719362420943968</v>
      </c>
      <c r="K29" s="1">
        <v>9.719362420943968</v>
      </c>
      <c r="L29" s="1"/>
      <c r="M29" s="246"/>
      <c r="N29" s="1">
        <v>212.48999999999998</v>
      </c>
      <c r="O29" s="1">
        <v>212.48999999999998</v>
      </c>
      <c r="P29" s="1">
        <v>0</v>
      </c>
      <c r="Q29" s="246"/>
      <c r="R29" s="1">
        <v>0</v>
      </c>
      <c r="S29" s="1">
        <v>0</v>
      </c>
      <c r="T29" s="1">
        <v>0</v>
      </c>
      <c r="V29" s="4">
        <f t="shared" si="0"/>
        <v>222.20936242094396</v>
      </c>
      <c r="W29" s="4">
        <f t="shared" si="0"/>
        <v>222.20936242094396</v>
      </c>
      <c r="X29" s="4">
        <f t="shared" si="0"/>
        <v>0</v>
      </c>
      <c r="Z29" s="172">
        <f t="shared" si="1"/>
        <v>9.719362420943968</v>
      </c>
      <c r="AB29" s="247">
        <v>0</v>
      </c>
      <c r="AC29" s="247">
        <v>0</v>
      </c>
      <c r="AD29" s="247">
        <v>0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</row>
    <row r="30" spans="1:49" x14ac:dyDescent="0.2">
      <c r="A30" s="8">
        <v>11650</v>
      </c>
      <c r="B30" s="8" t="s">
        <v>98</v>
      </c>
      <c r="C30" s="8" t="s">
        <v>25</v>
      </c>
      <c r="D30" s="29" t="s">
        <v>2</v>
      </c>
      <c r="E30" s="19"/>
      <c r="F30" s="1">
        <v>28110</v>
      </c>
      <c r="G30" s="1">
        <v>25290</v>
      </c>
      <c r="H30" s="1">
        <v>2820</v>
      </c>
      <c r="I30" s="246"/>
      <c r="J30" s="1">
        <v>6995.521438404121</v>
      </c>
      <c r="K30" s="1">
        <v>6995.521438404121</v>
      </c>
      <c r="L30" s="1"/>
      <c r="M30" s="246"/>
      <c r="N30" s="1">
        <v>3006</v>
      </c>
      <c r="O30" s="1">
        <v>3003</v>
      </c>
      <c r="P30" s="1">
        <v>3</v>
      </c>
      <c r="Q30" s="246"/>
      <c r="R30" s="1">
        <v>0</v>
      </c>
      <c r="S30" s="1">
        <v>0</v>
      </c>
      <c r="T30" s="1">
        <v>0</v>
      </c>
      <c r="V30" s="4">
        <f t="shared" si="0"/>
        <v>38111.521438404117</v>
      </c>
      <c r="W30" s="4">
        <f t="shared" si="0"/>
        <v>35288.521438404117</v>
      </c>
      <c r="X30" s="4">
        <f t="shared" si="0"/>
        <v>2823</v>
      </c>
      <c r="Z30" s="172">
        <f t="shared" si="1"/>
        <v>35105.521438404117</v>
      </c>
      <c r="AB30" s="247">
        <v>0</v>
      </c>
      <c r="AC30" s="247">
        <v>0</v>
      </c>
      <c r="AD30" s="247">
        <v>0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</row>
    <row r="31" spans="1:49" x14ac:dyDescent="0.2">
      <c r="A31" s="8">
        <v>11700</v>
      </c>
      <c r="B31" s="8" t="s">
        <v>99</v>
      </c>
      <c r="C31" s="8" t="s">
        <v>42</v>
      </c>
      <c r="D31" s="29" t="s">
        <v>1</v>
      </c>
      <c r="E31" s="19"/>
      <c r="F31" s="1">
        <v>0</v>
      </c>
      <c r="G31" s="1">
        <v>0</v>
      </c>
      <c r="H31" s="1">
        <v>0</v>
      </c>
      <c r="I31" s="246"/>
      <c r="J31" s="1">
        <v>16.9803047868078</v>
      </c>
      <c r="K31" s="1">
        <v>16.9803047868078</v>
      </c>
      <c r="L31" s="1"/>
      <c r="M31" s="246"/>
      <c r="N31" s="1">
        <v>165.5</v>
      </c>
      <c r="O31" s="1">
        <v>135</v>
      </c>
      <c r="P31" s="1">
        <v>30.5</v>
      </c>
      <c r="Q31" s="246"/>
      <c r="R31" s="1">
        <v>0</v>
      </c>
      <c r="S31" s="1">
        <v>0</v>
      </c>
      <c r="T31" s="1">
        <v>0</v>
      </c>
      <c r="V31" s="4">
        <f t="shared" si="0"/>
        <v>182.48030478680781</v>
      </c>
      <c r="W31" s="4">
        <f t="shared" si="0"/>
        <v>151.98030478680781</v>
      </c>
      <c r="X31" s="4">
        <f t="shared" si="0"/>
        <v>30.5</v>
      </c>
      <c r="Z31" s="172">
        <f t="shared" si="1"/>
        <v>16.9803047868078</v>
      </c>
      <c r="AB31" s="247">
        <v>0</v>
      </c>
      <c r="AC31" s="247">
        <v>0</v>
      </c>
      <c r="AD31" s="247">
        <v>0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</row>
    <row r="32" spans="1:49" x14ac:dyDescent="0.2">
      <c r="A32" s="8">
        <v>11720</v>
      </c>
      <c r="B32" s="8" t="s">
        <v>100</v>
      </c>
      <c r="C32" s="8" t="s">
        <v>25</v>
      </c>
      <c r="D32" s="29" t="s">
        <v>2</v>
      </c>
      <c r="E32" s="19"/>
      <c r="F32" s="1">
        <v>3968.99</v>
      </c>
      <c r="G32" s="1">
        <v>3524.43</v>
      </c>
      <c r="H32" s="1">
        <v>444.56</v>
      </c>
      <c r="I32" s="246"/>
      <c r="J32" s="1">
        <v>1644.6654212568799</v>
      </c>
      <c r="K32" s="1">
        <v>1644.6654212568799</v>
      </c>
      <c r="L32" s="1"/>
      <c r="M32" s="246"/>
      <c r="N32" s="1">
        <v>2260.2399999999998</v>
      </c>
      <c r="O32" s="1">
        <v>2258.8599999999997</v>
      </c>
      <c r="P32" s="1">
        <v>1.38</v>
      </c>
      <c r="Q32" s="246"/>
      <c r="R32" s="1">
        <v>0</v>
      </c>
      <c r="S32" s="1">
        <v>0</v>
      </c>
      <c r="T32" s="1">
        <v>0</v>
      </c>
      <c r="V32" s="4">
        <f t="shared" si="0"/>
        <v>7873.8954212568797</v>
      </c>
      <c r="W32" s="4">
        <f t="shared" si="0"/>
        <v>7427.9554212568792</v>
      </c>
      <c r="X32" s="4">
        <f t="shared" si="0"/>
        <v>445.94</v>
      </c>
      <c r="Z32" s="172">
        <f t="shared" si="1"/>
        <v>5613.6554212568799</v>
      </c>
      <c r="AB32" s="247">
        <v>58.3</v>
      </c>
      <c r="AC32" s="247">
        <v>58</v>
      </c>
      <c r="AD32" s="247">
        <v>0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</row>
    <row r="33" spans="1:49" x14ac:dyDescent="0.2">
      <c r="A33" s="8">
        <v>11730</v>
      </c>
      <c r="B33" s="8" t="s">
        <v>101</v>
      </c>
      <c r="C33" s="8" t="s">
        <v>20</v>
      </c>
      <c r="D33" s="29" t="s">
        <v>4</v>
      </c>
      <c r="E33" s="19"/>
      <c r="F33" s="1">
        <v>5118</v>
      </c>
      <c r="G33" s="1">
        <v>4914</v>
      </c>
      <c r="H33" s="1">
        <v>204</v>
      </c>
      <c r="I33" s="246"/>
      <c r="J33" s="1">
        <v>1904.3825138253644</v>
      </c>
      <c r="K33" s="1">
        <v>1904.3825138253644</v>
      </c>
      <c r="L33" s="1"/>
      <c r="M33" s="246"/>
      <c r="N33" s="1">
        <v>1139</v>
      </c>
      <c r="O33" s="1">
        <v>1139</v>
      </c>
      <c r="P33" s="1">
        <v>0</v>
      </c>
      <c r="Q33" s="246"/>
      <c r="R33" s="1">
        <v>165</v>
      </c>
      <c r="S33" s="1">
        <v>165</v>
      </c>
      <c r="T33" s="1">
        <v>0</v>
      </c>
      <c r="V33" s="4">
        <f t="shared" si="0"/>
        <v>8326.3825138253651</v>
      </c>
      <c r="W33" s="4">
        <f t="shared" si="0"/>
        <v>8122.3825138253642</v>
      </c>
      <c r="X33" s="4">
        <f t="shared" si="0"/>
        <v>204</v>
      </c>
      <c r="Z33" s="172">
        <f t="shared" si="1"/>
        <v>7022.3825138253642</v>
      </c>
      <c r="AB33" s="247">
        <v>0</v>
      </c>
      <c r="AC33" s="247">
        <v>0</v>
      </c>
      <c r="AD33" s="247">
        <v>0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</row>
    <row r="34" spans="1:49" x14ac:dyDescent="0.2">
      <c r="A34" s="8">
        <v>11750</v>
      </c>
      <c r="B34" s="8" t="s">
        <v>102</v>
      </c>
      <c r="C34" s="8" t="s">
        <v>42</v>
      </c>
      <c r="D34" s="29" t="s">
        <v>1</v>
      </c>
      <c r="E34" s="19"/>
      <c r="F34" s="1">
        <v>0</v>
      </c>
      <c r="G34" s="1">
        <v>0</v>
      </c>
      <c r="H34" s="1">
        <v>0</v>
      </c>
      <c r="I34" s="246"/>
      <c r="J34" s="1">
        <v>23.628918969784706</v>
      </c>
      <c r="K34" s="1">
        <v>23.628918969784706</v>
      </c>
      <c r="L34" s="1"/>
      <c r="M34" s="246"/>
      <c r="N34" s="1">
        <v>200</v>
      </c>
      <c r="O34" s="1">
        <v>200</v>
      </c>
      <c r="P34" s="1">
        <v>0</v>
      </c>
      <c r="Q34" s="246"/>
      <c r="R34" s="1">
        <v>0</v>
      </c>
      <c r="S34" s="1">
        <v>0</v>
      </c>
      <c r="T34" s="1">
        <v>0</v>
      </c>
      <c r="V34" s="4">
        <f t="shared" si="0"/>
        <v>223.62891896978471</v>
      </c>
      <c r="W34" s="4">
        <f t="shared" si="0"/>
        <v>223.62891896978471</v>
      </c>
      <c r="X34" s="4">
        <f t="shared" si="0"/>
        <v>0</v>
      </c>
      <c r="Z34" s="172">
        <f t="shared" si="1"/>
        <v>23.628918969784706</v>
      </c>
      <c r="AB34" s="247"/>
      <c r="AC34" s="247"/>
      <c r="AD34" s="247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</row>
    <row r="35" spans="1:49" x14ac:dyDescent="0.2">
      <c r="A35" s="8">
        <v>11800</v>
      </c>
      <c r="B35" s="8" t="s">
        <v>49</v>
      </c>
      <c r="C35" s="8" t="s">
        <v>43</v>
      </c>
      <c r="D35" s="29" t="s">
        <v>4</v>
      </c>
      <c r="E35" s="19"/>
      <c r="F35" s="1">
        <v>6701</v>
      </c>
      <c r="G35" s="1">
        <v>5695</v>
      </c>
      <c r="H35" s="1">
        <v>1006</v>
      </c>
      <c r="I35" s="246"/>
      <c r="J35" s="1">
        <v>2384.0504324647009</v>
      </c>
      <c r="K35" s="1">
        <v>2384.0504324647009</v>
      </c>
      <c r="L35" s="1"/>
      <c r="M35" s="246"/>
      <c r="N35" s="1">
        <v>2768</v>
      </c>
      <c r="O35" s="1">
        <v>2768</v>
      </c>
      <c r="P35" s="1">
        <v>0</v>
      </c>
      <c r="Q35" s="246"/>
      <c r="R35" s="1">
        <v>0</v>
      </c>
      <c r="S35" s="1">
        <v>0</v>
      </c>
      <c r="T35" s="1">
        <v>0</v>
      </c>
      <c r="V35" s="4">
        <f t="shared" si="0"/>
        <v>11853.050432464701</v>
      </c>
      <c r="W35" s="4">
        <f t="shared" si="0"/>
        <v>10847.050432464701</v>
      </c>
      <c r="X35" s="4">
        <f t="shared" si="0"/>
        <v>1006</v>
      </c>
      <c r="Z35" s="172">
        <f t="shared" si="1"/>
        <v>9085.0504324647009</v>
      </c>
      <c r="AB35" s="247">
        <v>0</v>
      </c>
      <c r="AC35" s="247">
        <v>0</v>
      </c>
      <c r="AD35" s="247">
        <v>0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</row>
    <row r="36" spans="1:49" x14ac:dyDescent="0.2">
      <c r="A36" s="8">
        <v>12000</v>
      </c>
      <c r="B36" s="8" t="s">
        <v>103</v>
      </c>
      <c r="C36" s="8" t="s">
        <v>22</v>
      </c>
      <c r="D36" s="29" t="s">
        <v>1</v>
      </c>
      <c r="E36" s="19"/>
      <c r="F36" s="1">
        <v>327</v>
      </c>
      <c r="G36" s="1">
        <f>F36-H36</f>
        <v>313.39999999999998</v>
      </c>
      <c r="H36" s="1">
        <v>13.6</v>
      </c>
      <c r="I36" s="246"/>
      <c r="J36" s="1">
        <v>32.213000433873354</v>
      </c>
      <c r="K36" s="1">
        <v>32.213000433873354</v>
      </c>
      <c r="L36" s="1"/>
      <c r="M36" s="246"/>
      <c r="N36" s="1">
        <v>544.09</v>
      </c>
      <c r="O36" s="1">
        <v>544.09</v>
      </c>
      <c r="P36" s="1">
        <v>0</v>
      </c>
      <c r="Q36" s="246"/>
      <c r="R36" s="1">
        <v>7</v>
      </c>
      <c r="S36" s="1">
        <v>7</v>
      </c>
      <c r="T36" s="1">
        <v>0</v>
      </c>
      <c r="V36" s="4">
        <f t="shared" si="0"/>
        <v>910.30300043387342</v>
      </c>
      <c r="W36" s="4">
        <f t="shared" si="0"/>
        <v>896.7030004338734</v>
      </c>
      <c r="X36" s="4">
        <f t="shared" si="0"/>
        <v>13.6</v>
      </c>
      <c r="Z36" s="172">
        <f t="shared" si="1"/>
        <v>359.21300043387333</v>
      </c>
      <c r="AB36" s="247"/>
      <c r="AC36" s="247"/>
      <c r="AD36" s="247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</row>
    <row r="37" spans="1:49" x14ac:dyDescent="0.2">
      <c r="A37" s="8">
        <v>12150</v>
      </c>
      <c r="B37" s="8" t="s">
        <v>104</v>
      </c>
      <c r="C37" s="8" t="s">
        <v>42</v>
      </c>
      <c r="D37" s="29" t="s">
        <v>1</v>
      </c>
      <c r="E37" s="19"/>
      <c r="F37" s="1">
        <v>0</v>
      </c>
      <c r="G37" s="1">
        <v>0</v>
      </c>
      <c r="H37" s="1">
        <v>0</v>
      </c>
      <c r="I37" s="246"/>
      <c r="J37" s="1">
        <v>59.645558640378844</v>
      </c>
      <c r="K37" s="1">
        <v>59.645558640378844</v>
      </c>
      <c r="L37" s="1"/>
      <c r="M37" s="246"/>
      <c r="N37" s="1">
        <v>0</v>
      </c>
      <c r="O37" s="1">
        <v>0</v>
      </c>
      <c r="P37" s="1">
        <v>0</v>
      </c>
      <c r="Q37" s="246"/>
      <c r="R37" s="1">
        <v>0</v>
      </c>
      <c r="S37" s="1">
        <v>0</v>
      </c>
      <c r="T37" s="1">
        <v>0</v>
      </c>
      <c r="V37" s="4">
        <f t="shared" si="0"/>
        <v>59.645558640378844</v>
      </c>
      <c r="W37" s="4">
        <f t="shared" si="0"/>
        <v>59.645558640378844</v>
      </c>
      <c r="X37" s="4">
        <f t="shared" si="0"/>
        <v>0</v>
      </c>
      <c r="Z37" s="172">
        <f t="shared" si="1"/>
        <v>59.645558640378844</v>
      </c>
      <c r="AB37" s="247"/>
      <c r="AC37" s="247"/>
      <c r="AD37" s="247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</row>
    <row r="38" spans="1:49" x14ac:dyDescent="0.2">
      <c r="A38" s="8">
        <v>12160</v>
      </c>
      <c r="B38" s="8" t="s">
        <v>105</v>
      </c>
      <c r="C38" s="8" t="s">
        <v>22</v>
      </c>
      <c r="D38" s="29" t="s">
        <v>1</v>
      </c>
      <c r="E38" s="19"/>
      <c r="F38" s="1">
        <v>651.41999999999996</v>
      </c>
      <c r="G38" s="1">
        <v>523.4</v>
      </c>
      <c r="H38" s="1">
        <v>128.02000000000001</v>
      </c>
      <c r="I38" s="246"/>
      <c r="J38" s="1">
        <v>209.06488378495021</v>
      </c>
      <c r="K38" s="1">
        <v>209.06488378495021</v>
      </c>
      <c r="L38" s="1"/>
      <c r="M38" s="246"/>
      <c r="N38" s="1">
        <v>1500.7600000000002</v>
      </c>
      <c r="O38" s="1">
        <v>1282.48</v>
      </c>
      <c r="P38" s="1">
        <v>218.28</v>
      </c>
      <c r="Q38" s="246"/>
      <c r="R38" s="1">
        <v>0</v>
      </c>
      <c r="S38" s="1">
        <v>0</v>
      </c>
      <c r="T38" s="1">
        <v>0</v>
      </c>
      <c r="V38" s="4">
        <f t="shared" si="0"/>
        <v>2361.2448837849506</v>
      </c>
      <c r="W38" s="4">
        <f t="shared" si="0"/>
        <v>2014.9448837849504</v>
      </c>
      <c r="X38" s="4">
        <f t="shared" si="0"/>
        <v>346.3</v>
      </c>
      <c r="Z38" s="172">
        <f t="shared" si="1"/>
        <v>860.48488378495017</v>
      </c>
      <c r="AB38" s="247">
        <v>0</v>
      </c>
      <c r="AC38" s="247">
        <v>0</v>
      </c>
      <c r="AD38" s="247">
        <v>0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</row>
    <row r="39" spans="1:49" x14ac:dyDescent="0.2">
      <c r="A39" s="8">
        <v>12350</v>
      </c>
      <c r="B39" s="8" t="s">
        <v>106</v>
      </c>
      <c r="C39" s="8" t="s">
        <v>42</v>
      </c>
      <c r="D39" s="29" t="s">
        <v>1</v>
      </c>
      <c r="E39" s="19"/>
      <c r="F39" s="1">
        <v>1034.53</v>
      </c>
      <c r="G39" s="1">
        <v>597.04</v>
      </c>
      <c r="H39" s="1">
        <v>437.49</v>
      </c>
      <c r="I39" s="246"/>
      <c r="J39" s="1">
        <v>371.57531522158354</v>
      </c>
      <c r="K39" s="1">
        <v>371.57531522158354</v>
      </c>
      <c r="L39" s="1"/>
      <c r="M39" s="246"/>
      <c r="N39" s="1">
        <v>623.2399999999999</v>
      </c>
      <c r="O39" s="1">
        <v>600.95999999999992</v>
      </c>
      <c r="P39" s="1">
        <v>22.28</v>
      </c>
      <c r="Q39" s="246"/>
      <c r="R39" s="1">
        <v>0</v>
      </c>
      <c r="S39" s="1">
        <v>0</v>
      </c>
      <c r="T39" s="1">
        <v>0</v>
      </c>
      <c r="V39" s="4">
        <f t="shared" si="0"/>
        <v>2029.3453152215834</v>
      </c>
      <c r="W39" s="4">
        <f t="shared" si="0"/>
        <v>1569.5753152215834</v>
      </c>
      <c r="X39" s="4">
        <f t="shared" si="0"/>
        <v>459.77</v>
      </c>
      <c r="Z39" s="172">
        <f t="shared" si="1"/>
        <v>1406.1053152215836</v>
      </c>
      <c r="AB39" s="247"/>
      <c r="AC39" s="247"/>
      <c r="AD39" s="247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</row>
    <row r="40" spans="1:49" x14ac:dyDescent="0.2">
      <c r="A40" s="8">
        <v>12380</v>
      </c>
      <c r="B40" s="8" t="s">
        <v>54</v>
      </c>
      <c r="C40" s="8" t="s">
        <v>19</v>
      </c>
      <c r="D40" s="29" t="s">
        <v>3</v>
      </c>
      <c r="E40" s="19"/>
      <c r="F40" s="1">
        <v>10406</v>
      </c>
      <c r="G40" s="1">
        <f>F40-H40</f>
        <v>9369.56</v>
      </c>
      <c r="H40" s="1">
        <v>1036.44</v>
      </c>
      <c r="I40" s="246"/>
      <c r="J40" s="1">
        <v>2916.0894894516632</v>
      </c>
      <c r="K40" s="1">
        <v>2916.0894894516632</v>
      </c>
      <c r="L40" s="1"/>
      <c r="M40" s="246"/>
      <c r="N40" s="1">
        <v>42.699999999999996</v>
      </c>
      <c r="O40" s="1">
        <v>42.699999999999996</v>
      </c>
      <c r="P40" s="1">
        <v>0</v>
      </c>
      <c r="Q40" s="246"/>
      <c r="R40" s="1">
        <v>0</v>
      </c>
      <c r="S40" s="1">
        <v>0</v>
      </c>
      <c r="T40" s="1">
        <v>0</v>
      </c>
      <c r="V40" s="4">
        <f t="shared" si="0"/>
        <v>13364.789489451665</v>
      </c>
      <c r="W40" s="4">
        <f t="shared" si="0"/>
        <v>12328.349489451663</v>
      </c>
      <c r="X40" s="4">
        <f t="shared" si="0"/>
        <v>1036.44</v>
      </c>
      <c r="Z40" s="172">
        <f t="shared" si="1"/>
        <v>13322.089489451664</v>
      </c>
      <c r="AB40" s="247">
        <v>0</v>
      </c>
      <c r="AC40" s="247">
        <v>0</v>
      </c>
      <c r="AD40" s="247">
        <v>0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</row>
    <row r="41" spans="1:49" x14ac:dyDescent="0.2">
      <c r="A41" s="8">
        <v>12390</v>
      </c>
      <c r="B41" s="8" t="s">
        <v>107</v>
      </c>
      <c r="C41" s="8" t="s">
        <v>42</v>
      </c>
      <c r="D41" s="29" t="s">
        <v>1</v>
      </c>
      <c r="E41" s="19"/>
      <c r="F41" s="1">
        <v>3114.73</v>
      </c>
      <c r="G41" s="1">
        <v>2828.3</v>
      </c>
      <c r="H41" s="1">
        <v>286.43</v>
      </c>
      <c r="I41" s="246"/>
      <c r="J41" s="1">
        <v>1889.1855135861376</v>
      </c>
      <c r="K41" s="1">
        <v>1889.1855135861376</v>
      </c>
      <c r="L41" s="1"/>
      <c r="M41" s="246"/>
      <c r="N41" s="1">
        <v>0</v>
      </c>
      <c r="O41" s="1">
        <v>0</v>
      </c>
      <c r="P41" s="1">
        <v>0</v>
      </c>
      <c r="Q41" s="246"/>
      <c r="R41" s="1">
        <v>8.4600000000000009</v>
      </c>
      <c r="S41" s="1">
        <v>0</v>
      </c>
      <c r="T41" s="1">
        <v>8.4600000000000009</v>
      </c>
      <c r="V41" s="4">
        <f t="shared" si="0"/>
        <v>5012.3755135861375</v>
      </c>
      <c r="W41" s="4">
        <f t="shared" si="0"/>
        <v>4717.485513586138</v>
      </c>
      <c r="X41" s="4">
        <f t="shared" si="0"/>
        <v>294.89</v>
      </c>
      <c r="Z41" s="172">
        <f t="shared" si="1"/>
        <v>5003.9155135861374</v>
      </c>
      <c r="AB41" s="247">
        <v>0</v>
      </c>
      <c r="AC41" s="247">
        <v>0</v>
      </c>
      <c r="AD41" s="247">
        <v>0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</row>
    <row r="42" spans="1:49" x14ac:dyDescent="0.2">
      <c r="A42" s="8">
        <v>12700</v>
      </c>
      <c r="B42" s="8" t="s">
        <v>108</v>
      </c>
      <c r="C42" s="8" t="s">
        <v>25</v>
      </c>
      <c r="D42" s="29" t="s">
        <v>4</v>
      </c>
      <c r="E42" s="19"/>
      <c r="F42" s="1">
        <v>676</v>
      </c>
      <c r="G42" s="1">
        <f>F42-H42</f>
        <v>586.02</v>
      </c>
      <c r="H42" s="1">
        <v>89.98</v>
      </c>
      <c r="I42" s="246"/>
      <c r="J42" s="1">
        <v>134.57894205563198</v>
      </c>
      <c r="K42" s="1">
        <v>134.57894205563198</v>
      </c>
      <c r="L42" s="1"/>
      <c r="M42" s="246"/>
      <c r="N42" s="1">
        <v>902</v>
      </c>
      <c r="O42" s="1">
        <v>902</v>
      </c>
      <c r="P42" s="1">
        <v>0</v>
      </c>
      <c r="Q42" s="246"/>
      <c r="R42" s="1">
        <v>205</v>
      </c>
      <c r="S42" s="1">
        <v>205</v>
      </c>
      <c r="T42" s="1">
        <v>0</v>
      </c>
      <c r="V42" s="4">
        <f t="shared" si="0"/>
        <v>1917.5789420556321</v>
      </c>
      <c r="W42" s="4">
        <f t="shared" si="0"/>
        <v>1827.5989420556321</v>
      </c>
      <c r="X42" s="4">
        <f t="shared" si="0"/>
        <v>89.98</v>
      </c>
      <c r="Z42" s="172">
        <f t="shared" si="1"/>
        <v>810.57894205563196</v>
      </c>
      <c r="AB42" s="247">
        <v>0</v>
      </c>
      <c r="AC42" s="247">
        <v>0</v>
      </c>
      <c r="AD42" s="247">
        <v>0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</row>
    <row r="43" spans="1:49" x14ac:dyDescent="0.2">
      <c r="A43" s="8">
        <v>12730</v>
      </c>
      <c r="B43" s="8" t="s">
        <v>109</v>
      </c>
      <c r="C43" s="8" t="s">
        <v>73</v>
      </c>
      <c r="D43" s="29" t="s">
        <v>1</v>
      </c>
      <c r="E43" s="19"/>
      <c r="F43" s="1">
        <v>0</v>
      </c>
      <c r="G43" s="1">
        <v>0</v>
      </c>
      <c r="H43" s="1">
        <v>0</v>
      </c>
      <c r="I43" s="246"/>
      <c r="J43" s="1">
        <v>426.41485112559195</v>
      </c>
      <c r="K43" s="1">
        <v>426.41485112559195</v>
      </c>
      <c r="L43" s="1"/>
      <c r="M43" s="246"/>
      <c r="N43" s="1">
        <v>430.47</v>
      </c>
      <c r="O43" s="1">
        <v>401.08</v>
      </c>
      <c r="P43" s="1">
        <v>29.39</v>
      </c>
      <c r="Q43" s="246"/>
      <c r="R43" s="1">
        <v>0</v>
      </c>
      <c r="S43" s="1">
        <v>0</v>
      </c>
      <c r="T43" s="1">
        <v>0</v>
      </c>
      <c r="V43" s="4">
        <f t="shared" si="0"/>
        <v>856.88485112559192</v>
      </c>
      <c r="W43" s="4">
        <f t="shared" si="0"/>
        <v>827.49485112559194</v>
      </c>
      <c r="X43" s="4">
        <f t="shared" si="0"/>
        <v>29.39</v>
      </c>
      <c r="Z43" s="172">
        <f t="shared" si="1"/>
        <v>426.41485112559195</v>
      </c>
      <c r="AB43" s="247">
        <v>0</v>
      </c>
      <c r="AC43" s="247">
        <v>0</v>
      </c>
      <c r="AD43" s="247">
        <v>0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</row>
    <row r="44" spans="1:49" x14ac:dyDescent="0.2">
      <c r="A44" s="8">
        <v>12750</v>
      </c>
      <c r="B44" s="8" t="s">
        <v>110</v>
      </c>
      <c r="C44" s="8" t="s">
        <v>74</v>
      </c>
      <c r="D44" s="29" t="s">
        <v>1</v>
      </c>
      <c r="E44" s="19"/>
      <c r="F44" s="1">
        <v>4026.19</v>
      </c>
      <c r="G44" s="1">
        <v>3476.63</v>
      </c>
      <c r="H44" s="1">
        <v>549.55999999999995</v>
      </c>
      <c r="I44" s="246"/>
      <c r="J44" s="1">
        <v>1232.5300690661236</v>
      </c>
      <c r="K44" s="1">
        <v>1232.5300690661236</v>
      </c>
      <c r="L44" s="1"/>
      <c r="M44" s="246"/>
      <c r="N44" s="1">
        <v>2484.6999999999998</v>
      </c>
      <c r="O44" s="1">
        <v>2484.6999999999998</v>
      </c>
      <c r="P44" s="1">
        <v>0</v>
      </c>
      <c r="Q44" s="246"/>
      <c r="R44" s="1">
        <v>387.94</v>
      </c>
      <c r="S44" s="1">
        <v>387.94</v>
      </c>
      <c r="T44" s="1">
        <v>0</v>
      </c>
      <c r="V44" s="4">
        <f t="shared" si="0"/>
        <v>8131.3600690661224</v>
      </c>
      <c r="W44" s="4">
        <f t="shared" si="0"/>
        <v>7581.8000690661229</v>
      </c>
      <c r="X44" s="4">
        <f t="shared" si="0"/>
        <v>549.55999999999995</v>
      </c>
      <c r="Z44" s="172">
        <f t="shared" si="1"/>
        <v>5258.7200690661239</v>
      </c>
      <c r="AB44" s="247">
        <v>5</v>
      </c>
      <c r="AC44" s="247">
        <v>5</v>
      </c>
      <c r="AD44" s="247">
        <v>0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</row>
    <row r="45" spans="1:49" x14ac:dyDescent="0.2">
      <c r="A45" s="8">
        <v>12850</v>
      </c>
      <c r="B45" s="8" t="s">
        <v>111</v>
      </c>
      <c r="C45" s="8" t="s">
        <v>19</v>
      </c>
      <c r="D45" s="29" t="s">
        <v>3</v>
      </c>
      <c r="E45" s="19"/>
      <c r="F45" s="1">
        <v>10092.14</v>
      </c>
      <c r="G45" s="1">
        <v>7190.69</v>
      </c>
      <c r="H45" s="1">
        <v>2901.45</v>
      </c>
      <c r="I45" s="246"/>
      <c r="J45" s="1">
        <v>3924.3371714144291</v>
      </c>
      <c r="K45" s="1">
        <v>3924.3371714144291</v>
      </c>
      <c r="L45" s="1"/>
      <c r="M45" s="246"/>
      <c r="N45" s="1">
        <v>106.58</v>
      </c>
      <c r="O45" s="1">
        <v>106.58</v>
      </c>
      <c r="P45" s="1">
        <v>0</v>
      </c>
      <c r="Q45" s="246"/>
      <c r="R45" s="1">
        <v>0</v>
      </c>
      <c r="S45" s="1">
        <v>0</v>
      </c>
      <c r="T45" s="1">
        <v>0</v>
      </c>
      <c r="V45" s="4">
        <f t="shared" si="0"/>
        <v>14123.057171414428</v>
      </c>
      <c r="W45" s="4">
        <f t="shared" si="0"/>
        <v>11221.607171414429</v>
      </c>
      <c r="X45" s="4">
        <f t="shared" si="0"/>
        <v>2901.45</v>
      </c>
      <c r="Z45" s="172">
        <f t="shared" si="1"/>
        <v>14016.477171414428</v>
      </c>
      <c r="AB45" s="247">
        <v>0</v>
      </c>
      <c r="AC45" s="247">
        <v>0</v>
      </c>
      <c r="AD45" s="247">
        <v>0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</row>
    <row r="46" spans="1:49" x14ac:dyDescent="0.2">
      <c r="A46" s="8">
        <v>12870</v>
      </c>
      <c r="B46" s="8" t="s">
        <v>112</v>
      </c>
      <c r="C46" s="8" t="s">
        <v>73</v>
      </c>
      <c r="D46" s="29" t="s">
        <v>1</v>
      </c>
      <c r="E46" s="19"/>
      <c r="F46" s="1">
        <v>1040</v>
      </c>
      <c r="G46" s="1">
        <f>F46-H46</f>
        <v>996.74</v>
      </c>
      <c r="H46" s="1">
        <v>43.26</v>
      </c>
      <c r="I46" s="246"/>
      <c r="J46" s="1">
        <v>1105.5737030864416</v>
      </c>
      <c r="K46" s="1">
        <v>1105.5737030864416</v>
      </c>
      <c r="L46" s="1"/>
      <c r="M46" s="246"/>
      <c r="N46" s="1">
        <v>460.6</v>
      </c>
      <c r="O46" s="1">
        <v>460.6</v>
      </c>
      <c r="P46" s="1">
        <v>0</v>
      </c>
      <c r="Q46" s="246"/>
      <c r="R46" s="1">
        <v>0</v>
      </c>
      <c r="S46" s="1">
        <v>0</v>
      </c>
      <c r="T46" s="1">
        <v>0</v>
      </c>
      <c r="V46" s="4">
        <f t="shared" si="0"/>
        <v>2606.1737030864415</v>
      </c>
      <c r="W46" s="4">
        <f t="shared" si="0"/>
        <v>2562.9137030864417</v>
      </c>
      <c r="X46" s="4">
        <f t="shared" si="0"/>
        <v>43.26</v>
      </c>
      <c r="Z46" s="172">
        <f t="shared" si="1"/>
        <v>2145.5737030864416</v>
      </c>
      <c r="AB46" s="247"/>
      <c r="AC46" s="247"/>
      <c r="AD46" s="247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</row>
    <row r="47" spans="1:49" x14ac:dyDescent="0.2">
      <c r="A47" s="8">
        <v>12900</v>
      </c>
      <c r="B47" s="8" t="s">
        <v>113</v>
      </c>
      <c r="C47" s="8" t="s">
        <v>42</v>
      </c>
      <c r="D47" s="29" t="s">
        <v>1</v>
      </c>
      <c r="E47" s="19"/>
      <c r="F47" s="1">
        <v>450.77</v>
      </c>
      <c r="G47" s="1">
        <v>409.26</v>
      </c>
      <c r="H47" s="1">
        <v>41.51</v>
      </c>
      <c r="I47" s="246"/>
      <c r="J47" s="1">
        <v>294.68147797705376</v>
      </c>
      <c r="K47" s="1">
        <v>294.68147797705376</v>
      </c>
      <c r="L47" s="1"/>
      <c r="M47" s="246"/>
      <c r="N47" s="1">
        <v>550.53</v>
      </c>
      <c r="O47" s="1">
        <v>550.53</v>
      </c>
      <c r="P47" s="1">
        <v>0</v>
      </c>
      <c r="Q47" s="246"/>
      <c r="R47" s="1">
        <v>20.9</v>
      </c>
      <c r="S47" s="1">
        <v>20.9</v>
      </c>
      <c r="T47" s="1">
        <v>0</v>
      </c>
      <c r="V47" s="4">
        <f t="shared" si="0"/>
        <v>1316.8814779770537</v>
      </c>
      <c r="W47" s="4">
        <f t="shared" si="0"/>
        <v>1275.3714779770537</v>
      </c>
      <c r="X47" s="4">
        <f t="shared" si="0"/>
        <v>41.51</v>
      </c>
      <c r="Z47" s="172">
        <f t="shared" si="1"/>
        <v>745.45147797705374</v>
      </c>
      <c r="AB47" s="247"/>
      <c r="AC47" s="247"/>
      <c r="AD47" s="247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</row>
    <row r="48" spans="1:49" x14ac:dyDescent="0.2">
      <c r="A48" s="8">
        <v>12930</v>
      </c>
      <c r="B48" s="8" t="s">
        <v>55</v>
      </c>
      <c r="C48" s="8" t="s">
        <v>18</v>
      </c>
      <c r="D48" s="29" t="s">
        <v>3</v>
      </c>
      <c r="E48" s="19"/>
      <c r="F48" s="1">
        <v>9846</v>
      </c>
      <c r="G48" s="1">
        <f>F48-H48</f>
        <v>8608.36</v>
      </c>
      <c r="H48" s="1">
        <v>1237.6400000000001</v>
      </c>
      <c r="I48" s="246"/>
      <c r="J48" s="1">
        <v>1281.5414166453629</v>
      </c>
      <c r="K48" s="1">
        <v>1281.5414166453629</v>
      </c>
      <c r="L48" s="1"/>
      <c r="M48" s="246"/>
      <c r="N48" s="1">
        <v>18.399999999999999</v>
      </c>
      <c r="O48" s="1">
        <v>18.399999999999999</v>
      </c>
      <c r="P48" s="1">
        <v>0</v>
      </c>
      <c r="Q48" s="246"/>
      <c r="R48" s="1">
        <v>16</v>
      </c>
      <c r="S48" s="1">
        <v>16</v>
      </c>
      <c r="T48" s="1">
        <v>0</v>
      </c>
      <c r="V48" s="4">
        <f t="shared" si="0"/>
        <v>11161.941416645363</v>
      </c>
      <c r="W48" s="4">
        <f t="shared" si="0"/>
        <v>9924.3014166453631</v>
      </c>
      <c r="X48" s="4">
        <f t="shared" si="0"/>
        <v>1237.6400000000001</v>
      </c>
      <c r="Z48" s="172">
        <f t="shared" si="1"/>
        <v>11127.541416645363</v>
      </c>
      <c r="AB48" s="247">
        <v>0</v>
      </c>
      <c r="AC48" s="247">
        <v>0</v>
      </c>
      <c r="AD48" s="247">
        <v>0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</row>
    <row r="49" spans="1:49" x14ac:dyDescent="0.2">
      <c r="A49" s="8">
        <v>12950</v>
      </c>
      <c r="B49" s="8" t="s">
        <v>114</v>
      </c>
      <c r="C49" s="8" t="s">
        <v>42</v>
      </c>
      <c r="D49" s="29" t="s">
        <v>1</v>
      </c>
      <c r="E49" s="19"/>
      <c r="F49" s="1">
        <v>115.84</v>
      </c>
      <c r="G49" s="1">
        <v>114.64</v>
      </c>
      <c r="H49" s="1">
        <v>1.2</v>
      </c>
      <c r="I49" s="246"/>
      <c r="J49" s="1">
        <v>45.776942687115366</v>
      </c>
      <c r="K49" s="1">
        <v>45.776942687115366</v>
      </c>
      <c r="L49" s="1"/>
      <c r="M49" s="246"/>
      <c r="N49" s="1">
        <v>9.5499999999999989</v>
      </c>
      <c r="O49" s="1">
        <v>9.5499999999999989</v>
      </c>
      <c r="P49" s="1">
        <v>0</v>
      </c>
      <c r="Q49" s="246"/>
      <c r="R49" s="1">
        <v>0</v>
      </c>
      <c r="S49" s="1">
        <v>0</v>
      </c>
      <c r="T49" s="1">
        <v>0</v>
      </c>
      <c r="V49" s="4">
        <f t="shared" si="0"/>
        <v>171.16694268711535</v>
      </c>
      <c r="W49" s="4">
        <f t="shared" si="0"/>
        <v>169.96694268711536</v>
      </c>
      <c r="X49" s="4">
        <f t="shared" si="0"/>
        <v>1.2</v>
      </c>
      <c r="Z49" s="172">
        <f t="shared" si="1"/>
        <v>161.61694268711537</v>
      </c>
      <c r="AB49" s="247"/>
      <c r="AC49" s="247"/>
      <c r="AD49" s="247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</row>
    <row r="50" spans="1:49" x14ac:dyDescent="0.2">
      <c r="A50" s="8">
        <v>13010</v>
      </c>
      <c r="B50" s="8" t="s">
        <v>115</v>
      </c>
      <c r="C50" s="8" t="s">
        <v>17</v>
      </c>
      <c r="D50" s="29" t="s">
        <v>1</v>
      </c>
      <c r="E50" s="19"/>
      <c r="F50" s="1">
        <v>463.58</v>
      </c>
      <c r="G50" s="1">
        <f>F50-H50</f>
        <v>444.29999999999995</v>
      </c>
      <c r="H50" s="1">
        <v>19.28</v>
      </c>
      <c r="I50" s="246"/>
      <c r="J50" s="1">
        <v>214.45995386551644</v>
      </c>
      <c r="K50" s="1">
        <v>214.45995386551644</v>
      </c>
      <c r="L50" s="1"/>
      <c r="M50" s="246"/>
      <c r="N50" s="1">
        <v>1590.44</v>
      </c>
      <c r="O50" s="1">
        <v>1590.44</v>
      </c>
      <c r="P50" s="1">
        <v>0</v>
      </c>
      <c r="Q50" s="246"/>
      <c r="R50" s="1">
        <v>0</v>
      </c>
      <c r="S50" s="1">
        <v>0</v>
      </c>
      <c r="T50" s="1">
        <v>0</v>
      </c>
      <c r="V50" s="4">
        <f t="shared" si="0"/>
        <v>2268.4799538655166</v>
      </c>
      <c r="W50" s="4">
        <f t="shared" si="0"/>
        <v>2249.1999538655164</v>
      </c>
      <c r="X50" s="4">
        <f t="shared" si="0"/>
        <v>19.28</v>
      </c>
      <c r="Z50" s="172">
        <f t="shared" si="1"/>
        <v>678.0399538655164</v>
      </c>
      <c r="AB50" s="247">
        <v>0</v>
      </c>
      <c r="AC50" s="247">
        <v>0</v>
      </c>
      <c r="AD50" s="247">
        <v>0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</row>
    <row r="51" spans="1:49" x14ac:dyDescent="0.2">
      <c r="A51" s="8">
        <v>13310</v>
      </c>
      <c r="B51" s="8" t="s">
        <v>116</v>
      </c>
      <c r="C51" s="8" t="s">
        <v>74</v>
      </c>
      <c r="D51" s="29" t="s">
        <v>1</v>
      </c>
      <c r="E51" s="19"/>
      <c r="F51" s="1">
        <v>1476</v>
      </c>
      <c r="G51" s="1">
        <v>775</v>
      </c>
      <c r="H51" s="1">
        <v>701</v>
      </c>
      <c r="I51" s="246"/>
      <c r="J51" s="1">
        <v>667.71985463904605</v>
      </c>
      <c r="K51" s="1">
        <v>667.71985463904605</v>
      </c>
      <c r="L51" s="1"/>
      <c r="M51" s="246"/>
      <c r="N51" s="1">
        <v>2428.6999999999998</v>
      </c>
      <c r="O51" s="1">
        <v>1474.7</v>
      </c>
      <c r="P51" s="1">
        <v>954</v>
      </c>
      <c r="Q51" s="246"/>
      <c r="R51" s="1">
        <v>368.4</v>
      </c>
      <c r="S51" s="1">
        <v>368.4</v>
      </c>
      <c r="T51" s="1">
        <v>0</v>
      </c>
      <c r="V51" s="4">
        <f t="shared" si="0"/>
        <v>4940.8198546390458</v>
      </c>
      <c r="W51" s="4">
        <f t="shared" si="0"/>
        <v>3285.8198546390458</v>
      </c>
      <c r="X51" s="4">
        <f t="shared" si="0"/>
        <v>1655</v>
      </c>
      <c r="Z51" s="172">
        <f t="shared" si="1"/>
        <v>2143.7198546390459</v>
      </c>
      <c r="AB51" s="247">
        <v>0</v>
      </c>
      <c r="AC51" s="247">
        <v>0</v>
      </c>
      <c r="AD51" s="247">
        <v>0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</row>
    <row r="52" spans="1:49" x14ac:dyDescent="0.2">
      <c r="A52" s="8">
        <v>13340</v>
      </c>
      <c r="B52" s="8" t="s">
        <v>117</v>
      </c>
      <c r="C52" s="8" t="s">
        <v>22</v>
      </c>
      <c r="D52" s="29" t="s">
        <v>1</v>
      </c>
      <c r="E52" s="19"/>
      <c r="F52" s="1">
        <v>576</v>
      </c>
      <c r="G52" s="1">
        <f>F52-H52</f>
        <v>552.04</v>
      </c>
      <c r="H52" s="1">
        <v>23.96</v>
      </c>
      <c r="I52" s="246"/>
      <c r="J52" s="1">
        <v>134.59231446970114</v>
      </c>
      <c r="K52" s="1">
        <v>134.59231446970114</v>
      </c>
      <c r="L52" s="1"/>
      <c r="M52" s="246"/>
      <c r="N52" s="1">
        <v>1261</v>
      </c>
      <c r="O52" s="1">
        <v>1261</v>
      </c>
      <c r="P52" s="1">
        <v>0</v>
      </c>
      <c r="Q52" s="246"/>
      <c r="R52" s="1">
        <v>0</v>
      </c>
      <c r="S52" s="1">
        <v>0</v>
      </c>
      <c r="T52" s="1">
        <v>0</v>
      </c>
      <c r="V52" s="4">
        <f t="shared" si="0"/>
        <v>1971.5923144697013</v>
      </c>
      <c r="W52" s="4">
        <f t="shared" si="0"/>
        <v>1947.6323144697012</v>
      </c>
      <c r="X52" s="4">
        <f t="shared" si="0"/>
        <v>23.96</v>
      </c>
      <c r="Z52" s="172">
        <f t="shared" si="1"/>
        <v>710.59231446970114</v>
      </c>
      <c r="AB52" s="247">
        <v>0</v>
      </c>
      <c r="AC52" s="247">
        <v>0</v>
      </c>
      <c r="AD52" s="247">
        <v>0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</row>
    <row r="53" spans="1:49" x14ac:dyDescent="0.2">
      <c r="A53" s="8">
        <v>13450</v>
      </c>
      <c r="B53" s="8" t="s">
        <v>118</v>
      </c>
      <c r="C53" s="8" t="s">
        <v>75</v>
      </c>
      <c r="D53" s="29" t="s">
        <v>1</v>
      </c>
      <c r="E53" s="19"/>
      <c r="F53" s="1">
        <v>1115</v>
      </c>
      <c r="G53" s="1">
        <f>F53-H53</f>
        <v>1068.6199999999999</v>
      </c>
      <c r="H53" s="1">
        <v>46.38</v>
      </c>
      <c r="I53" s="246"/>
      <c r="J53" s="1">
        <v>732.28321175821213</v>
      </c>
      <c r="K53" s="1">
        <v>732.28321175821213</v>
      </c>
      <c r="L53" s="1"/>
      <c r="M53" s="246"/>
      <c r="N53" s="1">
        <v>496</v>
      </c>
      <c r="O53" s="1">
        <v>496</v>
      </c>
      <c r="P53" s="1">
        <v>0</v>
      </c>
      <c r="Q53" s="246"/>
      <c r="R53" s="1">
        <v>0</v>
      </c>
      <c r="S53" s="1">
        <v>0</v>
      </c>
      <c r="T53" s="1">
        <v>0</v>
      </c>
      <c r="V53" s="4">
        <f t="shared" si="0"/>
        <v>2343.283211758212</v>
      </c>
      <c r="W53" s="4">
        <f t="shared" si="0"/>
        <v>2296.9032117582119</v>
      </c>
      <c r="X53" s="4">
        <f t="shared" si="0"/>
        <v>46.38</v>
      </c>
      <c r="Z53" s="172">
        <f t="shared" si="1"/>
        <v>1847.283211758212</v>
      </c>
      <c r="AB53" s="247"/>
      <c r="AC53" s="247"/>
      <c r="AD53" s="247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</row>
    <row r="54" spans="1:49" x14ac:dyDescent="0.2">
      <c r="A54" s="8">
        <v>13550</v>
      </c>
      <c r="B54" s="8" t="s">
        <v>77</v>
      </c>
      <c r="C54" s="8" t="s">
        <v>17</v>
      </c>
      <c r="D54" s="29" t="s">
        <v>1</v>
      </c>
      <c r="E54" s="19"/>
      <c r="F54" s="1">
        <v>693.23</v>
      </c>
      <c r="G54" s="1">
        <v>519.87</v>
      </c>
      <c r="H54" s="1">
        <v>173.36</v>
      </c>
      <c r="I54" s="246"/>
      <c r="J54" s="1">
        <v>401.12081262569245</v>
      </c>
      <c r="K54" s="1">
        <v>401.12081262569245</v>
      </c>
      <c r="L54" s="1"/>
      <c r="M54" s="246"/>
      <c r="N54" s="1">
        <v>2111.9699999999998</v>
      </c>
      <c r="O54" s="1">
        <v>2092.67</v>
      </c>
      <c r="P54" s="1">
        <v>19.3</v>
      </c>
      <c r="Q54" s="246"/>
      <c r="R54" s="1">
        <v>0</v>
      </c>
      <c r="S54" s="1">
        <v>0</v>
      </c>
      <c r="T54" s="1">
        <v>0</v>
      </c>
      <c r="V54" s="4">
        <f t="shared" si="0"/>
        <v>3206.3208126256923</v>
      </c>
      <c r="W54" s="4">
        <f t="shared" si="0"/>
        <v>3013.6608126256924</v>
      </c>
      <c r="X54" s="4">
        <f t="shared" si="0"/>
        <v>192.66000000000003</v>
      </c>
      <c r="Z54" s="172">
        <f t="shared" si="1"/>
        <v>1094.3508126256925</v>
      </c>
      <c r="AB54" s="247">
        <v>46.26</v>
      </c>
      <c r="AC54" s="247">
        <v>46</v>
      </c>
      <c r="AD54" s="247">
        <v>0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</row>
    <row r="55" spans="1:49" x14ac:dyDescent="0.2">
      <c r="A55" s="8">
        <v>13660</v>
      </c>
      <c r="B55" s="8" t="s">
        <v>119</v>
      </c>
      <c r="C55" s="8" t="s">
        <v>17</v>
      </c>
      <c r="D55" s="29" t="s">
        <v>1</v>
      </c>
      <c r="E55" s="19"/>
      <c r="F55" s="1">
        <v>174.92</v>
      </c>
      <c r="G55" s="1">
        <v>151.20999999999998</v>
      </c>
      <c r="H55" s="1">
        <v>23.71</v>
      </c>
      <c r="I55" s="246"/>
      <c r="J55" s="1">
        <v>115.4210266558773</v>
      </c>
      <c r="K55" s="1">
        <v>115.4210266558773</v>
      </c>
      <c r="L55" s="1"/>
      <c r="M55" s="246"/>
      <c r="N55" s="1">
        <v>224.47</v>
      </c>
      <c r="O55" s="1">
        <v>224.47</v>
      </c>
      <c r="P55" s="1">
        <v>0</v>
      </c>
      <c r="Q55" s="246"/>
      <c r="R55" s="1">
        <v>0</v>
      </c>
      <c r="S55" s="1">
        <v>0</v>
      </c>
      <c r="T55" s="1">
        <v>0</v>
      </c>
      <c r="V55" s="4">
        <f t="shared" si="0"/>
        <v>514.8110266558773</v>
      </c>
      <c r="W55" s="4">
        <f t="shared" si="0"/>
        <v>491.10102665587726</v>
      </c>
      <c r="X55" s="4">
        <f t="shared" si="0"/>
        <v>23.71</v>
      </c>
      <c r="Z55" s="172">
        <f t="shared" si="1"/>
        <v>290.34102665587727</v>
      </c>
      <c r="AB55" s="247">
        <v>3</v>
      </c>
      <c r="AC55" s="247">
        <v>3</v>
      </c>
      <c r="AD55" s="247">
        <v>0.5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</row>
    <row r="56" spans="1:49" x14ac:dyDescent="0.2">
      <c r="A56" s="8">
        <v>13800</v>
      </c>
      <c r="B56" s="8" t="s">
        <v>120</v>
      </c>
      <c r="C56" s="8" t="s">
        <v>19</v>
      </c>
      <c r="D56" s="29" t="s">
        <v>2</v>
      </c>
      <c r="E56" s="19"/>
      <c r="F56" s="1">
        <v>5127</v>
      </c>
      <c r="G56" s="1">
        <f>F56-H56</f>
        <v>4620.97</v>
      </c>
      <c r="H56" s="1">
        <v>506.03</v>
      </c>
      <c r="I56" s="246"/>
      <c r="J56" s="1">
        <v>1513.6110109339679</v>
      </c>
      <c r="K56" s="1">
        <v>1513.6110109339679</v>
      </c>
      <c r="L56" s="1"/>
      <c r="M56" s="246"/>
      <c r="N56" s="1">
        <v>1771</v>
      </c>
      <c r="O56" s="1">
        <v>1771</v>
      </c>
      <c r="P56" s="1">
        <v>0</v>
      </c>
      <c r="Q56" s="246"/>
      <c r="R56" s="1">
        <v>325</v>
      </c>
      <c r="S56" s="1">
        <v>325</v>
      </c>
      <c r="T56" s="1">
        <v>0</v>
      </c>
      <c r="V56" s="4">
        <f t="shared" si="0"/>
        <v>8736.6110109339679</v>
      </c>
      <c r="W56" s="4">
        <f t="shared" si="0"/>
        <v>8230.5810109339691</v>
      </c>
      <c r="X56" s="4">
        <f t="shared" si="0"/>
        <v>506.03</v>
      </c>
      <c r="Z56" s="172">
        <f t="shared" si="1"/>
        <v>6640.6110109339679</v>
      </c>
      <c r="AB56" s="247">
        <v>18</v>
      </c>
      <c r="AC56" s="247">
        <v>18</v>
      </c>
      <c r="AD56" s="247">
        <v>0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</row>
    <row r="57" spans="1:49" x14ac:dyDescent="0.2">
      <c r="A57" s="8">
        <v>13850</v>
      </c>
      <c r="B57" s="8" t="s">
        <v>121</v>
      </c>
      <c r="C57" s="8" t="s">
        <v>75</v>
      </c>
      <c r="D57" s="29" t="s">
        <v>1</v>
      </c>
      <c r="E57" s="19"/>
      <c r="F57" s="1">
        <v>0</v>
      </c>
      <c r="G57" s="1">
        <v>0</v>
      </c>
      <c r="H57" s="1">
        <v>0</v>
      </c>
      <c r="I57" s="246"/>
      <c r="J57" s="1">
        <v>60.526513814210603</v>
      </c>
      <c r="K57" s="1">
        <v>60.526513814210603</v>
      </c>
      <c r="L57" s="1"/>
      <c r="M57" s="246"/>
      <c r="N57" s="1">
        <v>2342.89</v>
      </c>
      <c r="O57" s="1">
        <v>2342.89</v>
      </c>
      <c r="P57" s="1">
        <v>0</v>
      </c>
      <c r="Q57" s="246"/>
      <c r="R57" s="1">
        <v>0</v>
      </c>
      <c r="S57" s="1">
        <v>0</v>
      </c>
      <c r="T57" s="1">
        <v>0</v>
      </c>
      <c r="V57" s="4">
        <f t="shared" si="0"/>
        <v>2403.4165138142107</v>
      </c>
      <c r="W57" s="4">
        <f t="shared" si="0"/>
        <v>2403.4165138142107</v>
      </c>
      <c r="X57" s="4">
        <f t="shared" si="0"/>
        <v>0</v>
      </c>
      <c r="Z57" s="172">
        <f t="shared" si="1"/>
        <v>60.526513814210603</v>
      </c>
      <c r="AB57" s="247">
        <v>0</v>
      </c>
      <c r="AC57" s="247">
        <v>0</v>
      </c>
      <c r="AD57" s="247">
        <v>0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</row>
    <row r="58" spans="1:49" x14ac:dyDescent="0.2">
      <c r="A58" s="8">
        <v>13910</v>
      </c>
      <c r="B58" s="8" t="s">
        <v>122</v>
      </c>
      <c r="C58" s="8" t="s">
        <v>74</v>
      </c>
      <c r="D58" s="29" t="s">
        <v>1</v>
      </c>
      <c r="E58" s="19"/>
      <c r="F58" s="1">
        <v>1570.74</v>
      </c>
      <c r="G58" s="1">
        <v>1565.74</v>
      </c>
      <c r="H58" s="1">
        <v>5</v>
      </c>
      <c r="I58" s="246"/>
      <c r="J58" s="1">
        <v>476.86105950638716</v>
      </c>
      <c r="K58" s="1">
        <v>476.86105950638716</v>
      </c>
      <c r="L58" s="1"/>
      <c r="M58" s="246"/>
      <c r="N58" s="1">
        <v>904.78</v>
      </c>
      <c r="O58" s="1">
        <v>904.78</v>
      </c>
      <c r="P58" s="1">
        <v>0</v>
      </c>
      <c r="Q58" s="246"/>
      <c r="R58" s="1">
        <v>0</v>
      </c>
      <c r="S58" s="1">
        <v>0</v>
      </c>
      <c r="T58" s="1">
        <v>0</v>
      </c>
      <c r="V58" s="4">
        <f t="shared" si="0"/>
        <v>2952.3810595063869</v>
      </c>
      <c r="W58" s="4">
        <f t="shared" si="0"/>
        <v>2947.3810595063869</v>
      </c>
      <c r="X58" s="4">
        <f t="shared" si="0"/>
        <v>5</v>
      </c>
      <c r="Z58" s="172">
        <f t="shared" si="1"/>
        <v>2047.6010595063872</v>
      </c>
      <c r="AB58" s="247">
        <v>0</v>
      </c>
      <c r="AC58" s="247">
        <v>0</v>
      </c>
      <c r="AD58" s="247">
        <v>0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</row>
    <row r="59" spans="1:49" x14ac:dyDescent="0.2">
      <c r="A59" s="8">
        <v>14000</v>
      </c>
      <c r="B59" s="8" t="s">
        <v>123</v>
      </c>
      <c r="C59" s="8" t="s">
        <v>26</v>
      </c>
      <c r="D59" s="29" t="s">
        <v>3</v>
      </c>
      <c r="E59" s="19"/>
      <c r="F59" s="1">
        <v>10877</v>
      </c>
      <c r="G59" s="1">
        <v>9898</v>
      </c>
      <c r="H59" s="1">
        <v>979</v>
      </c>
      <c r="I59" s="246"/>
      <c r="J59" s="1">
        <v>1419.8561827916089</v>
      </c>
      <c r="K59" s="1">
        <v>1419.8561827916089</v>
      </c>
      <c r="L59" s="1"/>
      <c r="M59" s="246"/>
      <c r="N59" s="1">
        <v>867</v>
      </c>
      <c r="O59" s="1">
        <v>867</v>
      </c>
      <c r="P59" s="1">
        <v>0</v>
      </c>
      <c r="Q59" s="246"/>
      <c r="R59" s="1">
        <v>1134</v>
      </c>
      <c r="S59" s="1">
        <v>1134</v>
      </c>
      <c r="T59" s="1">
        <v>0</v>
      </c>
      <c r="V59" s="4">
        <f t="shared" si="0"/>
        <v>14297.856182791609</v>
      </c>
      <c r="W59" s="4">
        <f t="shared" si="0"/>
        <v>13318.856182791609</v>
      </c>
      <c r="X59" s="4">
        <f t="shared" si="0"/>
        <v>979</v>
      </c>
      <c r="Z59" s="172">
        <f t="shared" si="1"/>
        <v>12296.856182791609</v>
      </c>
      <c r="AB59" s="247">
        <v>0</v>
      </c>
      <c r="AC59" s="247">
        <v>0</v>
      </c>
      <c r="AD59" s="247">
        <v>0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</row>
    <row r="60" spans="1:49" x14ac:dyDescent="0.2">
      <c r="A60" s="8">
        <v>14100</v>
      </c>
      <c r="B60" s="8" t="s">
        <v>56</v>
      </c>
      <c r="C60" s="8" t="s">
        <v>26</v>
      </c>
      <c r="D60" s="29" t="s">
        <v>3</v>
      </c>
      <c r="E60" s="19"/>
      <c r="F60" s="1">
        <v>1126</v>
      </c>
      <c r="G60" s="1">
        <f>F60-H60</f>
        <v>1091.99</v>
      </c>
      <c r="H60" s="1">
        <v>34.01</v>
      </c>
      <c r="I60" s="246"/>
      <c r="J60" s="1">
        <v>22.739572531102013</v>
      </c>
      <c r="K60" s="1">
        <v>22.739572531102013</v>
      </c>
      <c r="L60" s="1"/>
      <c r="M60" s="246"/>
      <c r="N60" s="1">
        <v>0</v>
      </c>
      <c r="O60" s="1">
        <v>0</v>
      </c>
      <c r="P60" s="1">
        <v>0</v>
      </c>
      <c r="Q60" s="246"/>
      <c r="R60" s="1">
        <v>62.19</v>
      </c>
      <c r="S60" s="1">
        <v>62.19</v>
      </c>
      <c r="T60" s="1">
        <v>0</v>
      </c>
      <c r="V60" s="4">
        <f t="shared" si="0"/>
        <v>1210.9295725311022</v>
      </c>
      <c r="W60" s="4">
        <f t="shared" si="0"/>
        <v>1176.9195725311022</v>
      </c>
      <c r="X60" s="4">
        <f t="shared" si="0"/>
        <v>34.01</v>
      </c>
      <c r="Z60" s="172">
        <f t="shared" si="1"/>
        <v>1148.7395725311021</v>
      </c>
      <c r="AB60" s="247"/>
      <c r="AC60" s="247"/>
      <c r="AD60" s="247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</row>
    <row r="61" spans="1:49" x14ac:dyDescent="0.2">
      <c r="A61" s="8">
        <v>14170</v>
      </c>
      <c r="B61" s="8" t="s">
        <v>57</v>
      </c>
      <c r="C61" s="8" t="s">
        <v>18</v>
      </c>
      <c r="D61" s="29" t="s">
        <v>3</v>
      </c>
      <c r="E61" s="19"/>
      <c r="F61" s="1">
        <v>11426</v>
      </c>
      <c r="G61" s="1">
        <v>10283</v>
      </c>
      <c r="H61" s="1">
        <v>1143</v>
      </c>
      <c r="I61" s="246"/>
      <c r="J61" s="1">
        <v>2750.2414752929658</v>
      </c>
      <c r="K61" s="1">
        <v>2750.2414752929658</v>
      </c>
      <c r="L61" s="1"/>
      <c r="M61" s="246"/>
      <c r="N61" s="1">
        <v>19.899999999999999</v>
      </c>
      <c r="O61" s="1">
        <v>19.899999999999999</v>
      </c>
      <c r="P61" s="1">
        <v>0</v>
      </c>
      <c r="Q61" s="246"/>
      <c r="R61" s="1">
        <v>900</v>
      </c>
      <c r="S61" s="1">
        <v>900</v>
      </c>
      <c r="T61" s="1">
        <v>0</v>
      </c>
      <c r="V61" s="4">
        <f t="shared" si="0"/>
        <v>15096.141475292965</v>
      </c>
      <c r="W61" s="4">
        <f t="shared" si="0"/>
        <v>13953.141475292965</v>
      </c>
      <c r="X61" s="4">
        <f t="shared" si="0"/>
        <v>1143</v>
      </c>
      <c r="Z61" s="172">
        <f t="shared" si="1"/>
        <v>14176.241475292965</v>
      </c>
      <c r="AB61" s="247">
        <v>0</v>
      </c>
      <c r="AC61" s="247">
        <v>0</v>
      </c>
      <c r="AD61" s="247">
        <v>0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</row>
    <row r="62" spans="1:49" x14ac:dyDescent="0.2">
      <c r="A62" s="8">
        <v>14200</v>
      </c>
      <c r="B62" s="8" t="s">
        <v>124</v>
      </c>
      <c r="C62" s="8" t="s">
        <v>17</v>
      </c>
      <c r="D62" s="29" t="s">
        <v>1</v>
      </c>
      <c r="E62" s="19"/>
      <c r="F62" s="1">
        <v>864.11</v>
      </c>
      <c r="G62" s="1">
        <v>567.11</v>
      </c>
      <c r="H62" s="1">
        <v>297</v>
      </c>
      <c r="I62" s="246"/>
      <c r="J62" s="1">
        <v>419.96148444417395</v>
      </c>
      <c r="K62" s="1">
        <v>419.96148444417395</v>
      </c>
      <c r="L62" s="1"/>
      <c r="M62" s="246"/>
      <c r="N62" s="1">
        <v>811.45999999999992</v>
      </c>
      <c r="O62" s="1">
        <v>789.45999999999992</v>
      </c>
      <c r="P62" s="1">
        <v>22</v>
      </c>
      <c r="Q62" s="246"/>
      <c r="R62" s="1">
        <v>9.5500000000000007</v>
      </c>
      <c r="S62" s="1">
        <v>9.5500000000000007</v>
      </c>
      <c r="T62" s="1">
        <v>0</v>
      </c>
      <c r="V62" s="4">
        <f t="shared" si="0"/>
        <v>2105.0814844441738</v>
      </c>
      <c r="W62" s="4">
        <f t="shared" si="0"/>
        <v>1786.0814844441738</v>
      </c>
      <c r="X62" s="4">
        <f t="shared" si="0"/>
        <v>319</v>
      </c>
      <c r="Z62" s="172">
        <f t="shared" si="1"/>
        <v>1284.0714844441741</v>
      </c>
      <c r="AB62" s="247">
        <v>0</v>
      </c>
      <c r="AC62" s="247">
        <v>0</v>
      </c>
      <c r="AD62" s="247">
        <v>0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</row>
    <row r="63" spans="1:49" x14ac:dyDescent="0.2">
      <c r="A63" s="8">
        <v>14300</v>
      </c>
      <c r="B63" s="8" t="s">
        <v>125</v>
      </c>
      <c r="C63" s="8" t="s">
        <v>22</v>
      </c>
      <c r="D63" s="29" t="s">
        <v>1</v>
      </c>
      <c r="E63" s="19"/>
      <c r="F63" s="1">
        <v>349.9</v>
      </c>
      <c r="G63" s="1">
        <f>F63-H63</f>
        <v>335.34</v>
      </c>
      <c r="H63" s="1">
        <v>14.56</v>
      </c>
      <c r="I63" s="246"/>
      <c r="J63" s="1">
        <v>47.182212391070749</v>
      </c>
      <c r="K63" s="1">
        <v>47.182212391070749</v>
      </c>
      <c r="L63" s="1"/>
      <c r="M63" s="246"/>
      <c r="N63" s="1">
        <v>323</v>
      </c>
      <c r="O63" s="1">
        <v>323</v>
      </c>
      <c r="P63" s="1">
        <v>0</v>
      </c>
      <c r="Q63" s="246"/>
      <c r="R63" s="1">
        <v>0</v>
      </c>
      <c r="S63" s="1">
        <v>0</v>
      </c>
      <c r="T63" s="1">
        <v>0</v>
      </c>
      <c r="V63" s="4">
        <f t="shared" si="0"/>
        <v>720.0822123910707</v>
      </c>
      <c r="W63" s="4">
        <f t="shared" si="0"/>
        <v>705.52221239107064</v>
      </c>
      <c r="X63" s="4">
        <f t="shared" si="0"/>
        <v>14.56</v>
      </c>
      <c r="Z63" s="172">
        <f t="shared" si="1"/>
        <v>397.0822123910707</v>
      </c>
      <c r="AB63" s="247">
        <v>30</v>
      </c>
      <c r="AC63" s="247">
        <v>30</v>
      </c>
      <c r="AD63" s="247">
        <v>0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</row>
    <row r="64" spans="1:49" x14ac:dyDescent="0.2">
      <c r="A64" s="8">
        <v>14350</v>
      </c>
      <c r="B64" s="8" t="s">
        <v>126</v>
      </c>
      <c r="C64" s="8" t="s">
        <v>43</v>
      </c>
      <c r="D64" s="29" t="s">
        <v>4</v>
      </c>
      <c r="E64" s="19"/>
      <c r="F64" s="1">
        <v>2208</v>
      </c>
      <c r="G64" s="1">
        <f t="shared" ref="G64:G67" si="2">F64-H64</f>
        <v>2116.15</v>
      </c>
      <c r="H64" s="1">
        <v>91.85</v>
      </c>
      <c r="I64" s="246"/>
      <c r="J64" s="1">
        <v>1057.8956869304373</v>
      </c>
      <c r="K64" s="1">
        <v>1057.8956869304373</v>
      </c>
      <c r="L64" s="1"/>
      <c r="M64" s="246"/>
      <c r="N64" s="1">
        <v>1123.02</v>
      </c>
      <c r="O64" s="1">
        <v>1093.02</v>
      </c>
      <c r="P64" s="1">
        <v>30</v>
      </c>
      <c r="Q64" s="246"/>
      <c r="R64" s="1">
        <v>0</v>
      </c>
      <c r="S64" s="1">
        <v>0</v>
      </c>
      <c r="T64" s="1">
        <v>0</v>
      </c>
      <c r="V64" s="4">
        <f t="shared" si="0"/>
        <v>4388.915686930437</v>
      </c>
      <c r="W64" s="4">
        <f t="shared" si="0"/>
        <v>4267.0656869304376</v>
      </c>
      <c r="X64" s="4">
        <f t="shared" si="0"/>
        <v>121.85</v>
      </c>
      <c r="Z64" s="172">
        <f t="shared" si="1"/>
        <v>3265.8956869304375</v>
      </c>
      <c r="AB64" s="247">
        <v>0</v>
      </c>
      <c r="AC64" s="247">
        <v>0</v>
      </c>
      <c r="AD64" s="247">
        <v>0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</row>
    <row r="65" spans="1:49" x14ac:dyDescent="0.2">
      <c r="A65" s="8">
        <v>14400</v>
      </c>
      <c r="B65" s="8" t="s">
        <v>127</v>
      </c>
      <c r="C65" s="8" t="s">
        <v>41</v>
      </c>
      <c r="D65" s="29" t="s">
        <v>2</v>
      </c>
      <c r="E65" s="19"/>
      <c r="F65" s="1">
        <v>2626.21</v>
      </c>
      <c r="G65" s="1">
        <f t="shared" si="2"/>
        <v>2511.71</v>
      </c>
      <c r="H65" s="1">
        <v>114.5</v>
      </c>
      <c r="I65" s="246"/>
      <c r="J65" s="1">
        <v>345.14613600042776</v>
      </c>
      <c r="K65" s="1">
        <v>345.14613600042776</v>
      </c>
      <c r="L65" s="1"/>
      <c r="M65" s="246"/>
      <c r="N65" s="1">
        <v>532.47</v>
      </c>
      <c r="O65" s="1">
        <v>532.47</v>
      </c>
      <c r="P65" s="1">
        <v>0</v>
      </c>
      <c r="Q65" s="246"/>
      <c r="R65" s="1">
        <v>0</v>
      </c>
      <c r="S65" s="1">
        <v>0</v>
      </c>
      <c r="T65" s="1">
        <v>0</v>
      </c>
      <c r="V65" s="4">
        <f t="shared" si="0"/>
        <v>3503.8261360004281</v>
      </c>
      <c r="W65" s="4">
        <f t="shared" si="0"/>
        <v>3389.3261360004281</v>
      </c>
      <c r="X65" s="4">
        <f t="shared" si="0"/>
        <v>114.5</v>
      </c>
      <c r="Z65" s="172">
        <f t="shared" si="1"/>
        <v>2971.3561360004278</v>
      </c>
      <c r="AB65" s="247">
        <v>0</v>
      </c>
      <c r="AC65" s="247">
        <v>0</v>
      </c>
      <c r="AD65" s="247">
        <v>0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</row>
    <row r="66" spans="1:49" x14ac:dyDescent="0.2">
      <c r="A66" s="8">
        <v>14500</v>
      </c>
      <c r="B66" s="8" t="s">
        <v>58</v>
      </c>
      <c r="C66" s="8" t="s">
        <v>26</v>
      </c>
      <c r="D66" s="29" t="s">
        <v>3</v>
      </c>
      <c r="E66" s="19"/>
      <c r="F66" s="1">
        <v>10453.370000000001</v>
      </c>
      <c r="G66" s="1">
        <f t="shared" si="2"/>
        <v>10023.740000000002</v>
      </c>
      <c r="H66" s="1">
        <v>429.63</v>
      </c>
      <c r="I66" s="246"/>
      <c r="J66" s="1">
        <v>102.11434733736496</v>
      </c>
      <c r="K66" s="1">
        <v>102.11434733736496</v>
      </c>
      <c r="L66" s="1"/>
      <c r="M66" s="246"/>
      <c r="N66" s="1">
        <v>0.45</v>
      </c>
      <c r="O66" s="1">
        <v>0.45</v>
      </c>
      <c r="P66" s="1">
        <v>0</v>
      </c>
      <c r="Q66" s="246"/>
      <c r="R66" s="1">
        <v>105.7</v>
      </c>
      <c r="S66" s="1">
        <v>105.7</v>
      </c>
      <c r="T66" s="1">
        <v>0</v>
      </c>
      <c r="V66" s="4">
        <f t="shared" si="0"/>
        <v>10661.634347337367</v>
      </c>
      <c r="W66" s="4">
        <f t="shared" si="0"/>
        <v>10232.004347337368</v>
      </c>
      <c r="X66" s="4">
        <f t="shared" si="0"/>
        <v>429.63</v>
      </c>
      <c r="Z66" s="172">
        <f t="shared" si="1"/>
        <v>10555.484347337366</v>
      </c>
      <c r="AB66" s="247">
        <v>0</v>
      </c>
      <c r="AC66" s="247">
        <v>0</v>
      </c>
      <c r="AD66" s="247">
        <v>0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</row>
    <row r="67" spans="1:49" x14ac:dyDescent="0.2">
      <c r="A67" s="8">
        <v>14550</v>
      </c>
      <c r="B67" s="8" t="s">
        <v>128</v>
      </c>
      <c r="C67" s="8" t="s">
        <v>20</v>
      </c>
      <c r="D67" s="29" t="s">
        <v>4</v>
      </c>
      <c r="E67" s="19"/>
      <c r="F67" s="1">
        <v>367.22</v>
      </c>
      <c r="G67" s="1">
        <f t="shared" si="2"/>
        <v>351.94000000000005</v>
      </c>
      <c r="H67" s="1">
        <v>15.28</v>
      </c>
      <c r="I67" s="246"/>
      <c r="J67" s="1">
        <v>159.68269620177975</v>
      </c>
      <c r="K67" s="1">
        <v>159.68269620177975</v>
      </c>
      <c r="L67" s="1"/>
      <c r="M67" s="246"/>
      <c r="N67" s="1">
        <v>916.45</v>
      </c>
      <c r="O67" s="1">
        <v>916.45</v>
      </c>
      <c r="P67" s="1">
        <v>0</v>
      </c>
      <c r="Q67" s="246"/>
      <c r="R67" s="1">
        <v>0</v>
      </c>
      <c r="S67" s="1">
        <v>0</v>
      </c>
      <c r="T67" s="1">
        <v>0</v>
      </c>
      <c r="V67" s="4">
        <f t="shared" si="0"/>
        <v>1443.3526962017797</v>
      </c>
      <c r="W67" s="4">
        <f t="shared" si="0"/>
        <v>1428.0726962017798</v>
      </c>
      <c r="X67" s="4">
        <f t="shared" si="0"/>
        <v>15.28</v>
      </c>
      <c r="Z67" s="172">
        <f t="shared" si="1"/>
        <v>526.9026962017798</v>
      </c>
      <c r="AB67" s="247"/>
      <c r="AC67" s="247"/>
      <c r="AD67" s="247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</row>
    <row r="68" spans="1:49" x14ac:dyDescent="0.2">
      <c r="A68" s="8">
        <v>14600</v>
      </c>
      <c r="B68" s="8" t="s">
        <v>129</v>
      </c>
      <c r="C68" s="8" t="s">
        <v>42</v>
      </c>
      <c r="D68" s="29" t="s">
        <v>1</v>
      </c>
      <c r="E68" s="19"/>
      <c r="F68" s="1">
        <v>183</v>
      </c>
      <c r="G68" s="1">
        <v>171</v>
      </c>
      <c r="H68" s="1">
        <v>12</v>
      </c>
      <c r="I68" s="246"/>
      <c r="J68" s="1">
        <v>65.597577489080507</v>
      </c>
      <c r="K68" s="1">
        <v>65.597577489080507</v>
      </c>
      <c r="L68" s="1"/>
      <c r="M68" s="246"/>
      <c r="N68" s="1">
        <v>1030</v>
      </c>
      <c r="O68" s="1">
        <v>1025</v>
      </c>
      <c r="P68" s="1">
        <v>5</v>
      </c>
      <c r="Q68" s="246"/>
      <c r="R68" s="1">
        <v>0</v>
      </c>
      <c r="S68" s="1">
        <v>0</v>
      </c>
      <c r="T68" s="1">
        <v>0</v>
      </c>
      <c r="V68" s="4">
        <f t="shared" si="0"/>
        <v>1278.5975774890805</v>
      </c>
      <c r="W68" s="4">
        <f t="shared" si="0"/>
        <v>1261.5975774890805</v>
      </c>
      <c r="X68" s="4">
        <f t="shared" si="0"/>
        <v>17</v>
      </c>
      <c r="Z68" s="172">
        <f t="shared" si="1"/>
        <v>248.59757748908049</v>
      </c>
      <c r="AB68" s="247">
        <v>0</v>
      </c>
      <c r="AC68" s="247">
        <v>0</v>
      </c>
      <c r="AD68" s="247">
        <v>0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</row>
    <row r="69" spans="1:49" x14ac:dyDescent="0.2">
      <c r="A69" s="8">
        <v>14650</v>
      </c>
      <c r="B69" s="8" t="s">
        <v>130</v>
      </c>
      <c r="C69" s="8" t="s">
        <v>25</v>
      </c>
      <c r="D69" s="29" t="s">
        <v>2</v>
      </c>
      <c r="E69" s="19"/>
      <c r="F69" s="1">
        <v>17511</v>
      </c>
      <c r="G69" s="1">
        <v>15461</v>
      </c>
      <c r="H69" s="1">
        <v>2050</v>
      </c>
      <c r="I69" s="246"/>
      <c r="J69" s="1">
        <v>4772.9684551758482</v>
      </c>
      <c r="K69" s="1">
        <v>4772.9684551758482</v>
      </c>
      <c r="L69" s="1"/>
      <c r="M69" s="246"/>
      <c r="N69" s="1">
        <v>674.76</v>
      </c>
      <c r="O69" s="1">
        <v>674.76</v>
      </c>
      <c r="P69" s="1">
        <v>0</v>
      </c>
      <c r="Q69" s="246"/>
      <c r="R69" s="1">
        <v>978.86</v>
      </c>
      <c r="S69" s="1">
        <v>978.86</v>
      </c>
      <c r="T69" s="1">
        <v>0</v>
      </c>
      <c r="V69" s="4">
        <f t="shared" ref="V69:X131" si="3">F69+N69+R69+J69</f>
        <v>23937.588455175846</v>
      </c>
      <c r="W69" s="4">
        <f t="shared" si="3"/>
        <v>21887.588455175846</v>
      </c>
      <c r="X69" s="4">
        <f t="shared" si="3"/>
        <v>2050</v>
      </c>
      <c r="Z69" s="172">
        <f t="shared" ref="Z69:Z132" si="4">F69+J69</f>
        <v>22283.968455175847</v>
      </c>
      <c r="AB69" s="247">
        <v>0</v>
      </c>
      <c r="AC69" s="247">
        <v>0</v>
      </c>
      <c r="AD69" s="247">
        <v>0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</row>
    <row r="70" spans="1:49" x14ac:dyDescent="0.2">
      <c r="A70" s="8">
        <v>14700</v>
      </c>
      <c r="B70" s="8" t="s">
        <v>59</v>
      </c>
      <c r="C70" s="8" t="s">
        <v>26</v>
      </c>
      <c r="D70" s="29" t="s">
        <v>3</v>
      </c>
      <c r="E70" s="19"/>
      <c r="F70" s="1">
        <v>2983</v>
      </c>
      <c r="G70" s="1">
        <f t="shared" ref="G70:G88" si="5">F70-H70</f>
        <v>2863.38</v>
      </c>
      <c r="H70" s="1">
        <v>119.62</v>
      </c>
      <c r="I70" s="246"/>
      <c r="J70" s="1">
        <v>400.27693941909723</v>
      </c>
      <c r="K70" s="1">
        <v>400.27693941909723</v>
      </c>
      <c r="L70" s="1"/>
      <c r="M70" s="246"/>
      <c r="N70" s="1">
        <v>0</v>
      </c>
      <c r="O70" s="1">
        <v>0</v>
      </c>
      <c r="P70" s="1">
        <v>0</v>
      </c>
      <c r="Q70" s="246"/>
      <c r="R70" s="1">
        <v>29</v>
      </c>
      <c r="S70" s="1">
        <v>29</v>
      </c>
      <c r="T70" s="1">
        <v>0</v>
      </c>
      <c r="V70" s="4">
        <f t="shared" si="3"/>
        <v>3412.2769394190973</v>
      </c>
      <c r="W70" s="4">
        <f t="shared" si="3"/>
        <v>3292.6569394190974</v>
      </c>
      <c r="X70" s="4">
        <f t="shared" si="3"/>
        <v>119.62</v>
      </c>
      <c r="Z70" s="172">
        <f t="shared" si="4"/>
        <v>3383.2769394190973</v>
      </c>
      <c r="AB70" s="247"/>
      <c r="AC70" s="247"/>
      <c r="AD70" s="247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</row>
    <row r="71" spans="1:49" x14ac:dyDescent="0.2">
      <c r="A71" s="8">
        <v>14750</v>
      </c>
      <c r="B71" s="8" t="s">
        <v>131</v>
      </c>
      <c r="C71" s="8" t="s">
        <v>75</v>
      </c>
      <c r="D71" s="29" t="s">
        <v>1</v>
      </c>
      <c r="E71" s="19"/>
      <c r="F71" s="1">
        <v>519.55999999999995</v>
      </c>
      <c r="G71" s="1">
        <f t="shared" si="5"/>
        <v>496.17999999999995</v>
      </c>
      <c r="H71" s="1">
        <v>23.38</v>
      </c>
      <c r="I71" s="246"/>
      <c r="J71" s="1">
        <v>293.06145454960205</v>
      </c>
      <c r="K71" s="1">
        <v>293.06145454960205</v>
      </c>
      <c r="L71" s="1"/>
      <c r="M71" s="246"/>
      <c r="N71" s="1">
        <v>0</v>
      </c>
      <c r="O71" s="1">
        <v>0</v>
      </c>
      <c r="P71" s="1">
        <v>0</v>
      </c>
      <c r="Q71" s="246"/>
      <c r="R71" s="1">
        <v>0</v>
      </c>
      <c r="S71" s="1">
        <v>0</v>
      </c>
      <c r="T71" s="1">
        <v>0</v>
      </c>
      <c r="V71" s="4">
        <f t="shared" si="3"/>
        <v>812.62145454960205</v>
      </c>
      <c r="W71" s="4">
        <f t="shared" si="3"/>
        <v>789.24145454960194</v>
      </c>
      <c r="X71" s="4">
        <f t="shared" si="3"/>
        <v>23.38</v>
      </c>
      <c r="Z71" s="172">
        <f t="shared" si="4"/>
        <v>812.62145454960205</v>
      </c>
      <c r="AB71" s="247">
        <v>0.36</v>
      </c>
      <c r="AC71" s="247">
        <v>0</v>
      </c>
      <c r="AD71" s="247">
        <v>0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</row>
    <row r="72" spans="1:49" x14ac:dyDescent="0.2">
      <c r="A72" s="8">
        <v>14850</v>
      </c>
      <c r="B72" s="8" t="s">
        <v>132</v>
      </c>
      <c r="C72" s="8" t="s">
        <v>20</v>
      </c>
      <c r="D72" s="29" t="s">
        <v>4</v>
      </c>
      <c r="E72" s="19"/>
      <c r="F72" s="1">
        <v>3103</v>
      </c>
      <c r="G72" s="1">
        <f t="shared" si="5"/>
        <v>3027.91</v>
      </c>
      <c r="H72" s="1">
        <v>75.09</v>
      </c>
      <c r="I72" s="246"/>
      <c r="J72" s="1">
        <v>1364.4687190610437</v>
      </c>
      <c r="K72" s="1">
        <v>1364.4687190610437</v>
      </c>
      <c r="L72" s="1"/>
      <c r="M72" s="246"/>
      <c r="N72" s="1">
        <v>1316.66</v>
      </c>
      <c r="O72" s="1">
        <v>1316.66</v>
      </c>
      <c r="P72" s="1">
        <v>0</v>
      </c>
      <c r="Q72" s="246"/>
      <c r="R72" s="1">
        <v>0</v>
      </c>
      <c r="S72" s="1">
        <v>0</v>
      </c>
      <c r="T72" s="1">
        <v>0</v>
      </c>
      <c r="V72" s="4">
        <f t="shared" si="3"/>
        <v>5784.1287190610437</v>
      </c>
      <c r="W72" s="4">
        <f t="shared" si="3"/>
        <v>5709.0387190610436</v>
      </c>
      <c r="X72" s="4">
        <f t="shared" si="3"/>
        <v>75.09</v>
      </c>
      <c r="Z72" s="172">
        <f t="shared" si="4"/>
        <v>4467.4687190610439</v>
      </c>
      <c r="AB72" s="247">
        <v>2</v>
      </c>
      <c r="AC72" s="247">
        <v>2</v>
      </c>
      <c r="AD72" s="247">
        <v>0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</row>
    <row r="73" spans="1:49" x14ac:dyDescent="0.2">
      <c r="A73" s="8">
        <v>14870</v>
      </c>
      <c r="B73" s="8" t="s">
        <v>133</v>
      </c>
      <c r="C73" s="8" t="s">
        <v>42</v>
      </c>
      <c r="D73" s="29" t="s">
        <v>1</v>
      </c>
      <c r="E73" s="19"/>
      <c r="F73" s="1">
        <v>1157</v>
      </c>
      <c r="G73" s="1">
        <f t="shared" si="5"/>
        <v>1108.8699999999999</v>
      </c>
      <c r="H73" s="1">
        <v>48.13</v>
      </c>
      <c r="I73" s="246"/>
      <c r="J73" s="1">
        <v>348.83794678081443</v>
      </c>
      <c r="K73" s="1">
        <v>348.83794678081443</v>
      </c>
      <c r="L73" s="1"/>
      <c r="M73" s="246"/>
      <c r="N73" s="1">
        <v>1024.96</v>
      </c>
      <c r="O73" s="1">
        <v>1024.96</v>
      </c>
      <c r="P73" s="1">
        <v>0</v>
      </c>
      <c r="Q73" s="246"/>
      <c r="R73" s="1">
        <v>0</v>
      </c>
      <c r="S73" s="1">
        <v>0</v>
      </c>
      <c r="T73" s="1">
        <v>0</v>
      </c>
      <c r="V73" s="4">
        <f t="shared" si="3"/>
        <v>2530.7979467808145</v>
      </c>
      <c r="W73" s="4">
        <f t="shared" si="3"/>
        <v>2482.6679467808144</v>
      </c>
      <c r="X73" s="4">
        <f t="shared" si="3"/>
        <v>48.13</v>
      </c>
      <c r="Z73" s="172">
        <f t="shared" si="4"/>
        <v>1505.8379467808145</v>
      </c>
      <c r="AB73" s="247"/>
      <c r="AC73" s="247"/>
      <c r="AD73" s="247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</row>
    <row r="74" spans="1:49" x14ac:dyDescent="0.2">
      <c r="A74" s="8">
        <v>14900</v>
      </c>
      <c r="B74" s="8" t="s">
        <v>60</v>
      </c>
      <c r="C74" s="8" t="s">
        <v>19</v>
      </c>
      <c r="D74" s="29" t="s">
        <v>3</v>
      </c>
      <c r="E74" s="19"/>
      <c r="F74" s="1">
        <v>14502.14</v>
      </c>
      <c r="G74" s="1">
        <f t="shared" si="5"/>
        <v>13051.93</v>
      </c>
      <c r="H74" s="1">
        <v>1450.21</v>
      </c>
      <c r="I74" s="246"/>
      <c r="J74" s="1">
        <v>3102.2682598533916</v>
      </c>
      <c r="K74" s="1">
        <v>3102.2682598533916</v>
      </c>
      <c r="L74" s="1"/>
      <c r="M74" s="246"/>
      <c r="N74" s="1">
        <v>1056.5200000000002</v>
      </c>
      <c r="O74" s="1">
        <v>917.82</v>
      </c>
      <c r="P74" s="1">
        <v>138.69999999999999</v>
      </c>
      <c r="Q74" s="246"/>
      <c r="R74" s="1">
        <v>707.41</v>
      </c>
      <c r="S74" s="1">
        <v>707.41</v>
      </c>
      <c r="T74" s="1">
        <v>0</v>
      </c>
      <c r="V74" s="4">
        <f t="shared" si="3"/>
        <v>19368.33825985339</v>
      </c>
      <c r="W74" s="4">
        <f t="shared" si="3"/>
        <v>17779.42825985339</v>
      </c>
      <c r="X74" s="4">
        <f t="shared" si="3"/>
        <v>1588.91</v>
      </c>
      <c r="Z74" s="172">
        <f t="shared" si="4"/>
        <v>17604.40825985339</v>
      </c>
      <c r="AB74" s="247">
        <v>0</v>
      </c>
      <c r="AC74" s="247">
        <v>0</v>
      </c>
      <c r="AD74" s="247">
        <v>0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</row>
    <row r="75" spans="1:49" x14ac:dyDescent="0.2">
      <c r="A75" s="8">
        <v>14920</v>
      </c>
      <c r="B75" s="8" t="s">
        <v>134</v>
      </c>
      <c r="C75" s="8" t="s">
        <v>17</v>
      </c>
      <c r="D75" s="29" t="s">
        <v>1</v>
      </c>
      <c r="E75" s="19"/>
      <c r="F75" s="1">
        <v>408</v>
      </c>
      <c r="G75" s="1">
        <f t="shared" si="5"/>
        <v>391.03</v>
      </c>
      <c r="H75" s="1">
        <v>16.97</v>
      </c>
      <c r="I75" s="246"/>
      <c r="J75" s="1">
        <v>87.91214320229507</v>
      </c>
      <c r="K75" s="1">
        <v>87.91214320229507</v>
      </c>
      <c r="L75" s="1"/>
      <c r="M75" s="246"/>
      <c r="N75" s="1">
        <v>0</v>
      </c>
      <c r="O75" s="1">
        <v>0</v>
      </c>
      <c r="P75" s="1">
        <v>0</v>
      </c>
      <c r="Q75" s="246"/>
      <c r="R75" s="1">
        <v>0</v>
      </c>
      <c r="S75" s="1">
        <v>0</v>
      </c>
      <c r="T75" s="1">
        <v>0</v>
      </c>
      <c r="V75" s="4">
        <f t="shared" si="3"/>
        <v>495.91214320229506</v>
      </c>
      <c r="W75" s="4">
        <f t="shared" si="3"/>
        <v>478.94214320229503</v>
      </c>
      <c r="X75" s="4">
        <f t="shared" si="3"/>
        <v>16.97</v>
      </c>
      <c r="Z75" s="172">
        <f t="shared" si="4"/>
        <v>495.91214320229506</v>
      </c>
      <c r="AB75" s="247">
        <v>0</v>
      </c>
      <c r="AC75" s="247">
        <v>0</v>
      </c>
      <c r="AD75" s="247">
        <v>0</v>
      </c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</row>
    <row r="76" spans="1:49" x14ac:dyDescent="0.2">
      <c r="A76" s="8">
        <v>14950</v>
      </c>
      <c r="B76" s="8" t="s">
        <v>135</v>
      </c>
      <c r="C76" s="8" t="s">
        <v>22</v>
      </c>
      <c r="D76" s="29" t="s">
        <v>1</v>
      </c>
      <c r="E76" s="19"/>
      <c r="F76" s="1">
        <v>145.5</v>
      </c>
      <c r="G76" s="1">
        <f t="shared" si="5"/>
        <v>139.44999999999999</v>
      </c>
      <c r="H76" s="1">
        <v>6.05</v>
      </c>
      <c r="I76" s="246"/>
      <c r="J76" s="1">
        <v>0</v>
      </c>
      <c r="K76" s="1">
        <v>0</v>
      </c>
      <c r="L76" s="1"/>
      <c r="M76" s="246"/>
      <c r="N76" s="1">
        <v>0</v>
      </c>
      <c r="O76" s="1">
        <v>0</v>
      </c>
      <c r="P76" s="1">
        <v>0</v>
      </c>
      <c r="Q76" s="246"/>
      <c r="R76" s="1">
        <v>12</v>
      </c>
      <c r="S76" s="1">
        <v>12</v>
      </c>
      <c r="T76" s="1">
        <v>0</v>
      </c>
      <c r="V76" s="4">
        <f t="shared" si="3"/>
        <v>157.5</v>
      </c>
      <c r="W76" s="4">
        <f t="shared" si="3"/>
        <v>151.44999999999999</v>
      </c>
      <c r="X76" s="4">
        <f t="shared" si="3"/>
        <v>6.05</v>
      </c>
      <c r="Z76" s="172">
        <f t="shared" si="4"/>
        <v>145.5</v>
      </c>
      <c r="AB76" s="247">
        <v>0</v>
      </c>
      <c r="AC76" s="247">
        <v>0</v>
      </c>
      <c r="AD76" s="247">
        <v>0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</row>
    <row r="77" spans="1:49" x14ac:dyDescent="0.2">
      <c r="A77" s="8">
        <v>15050</v>
      </c>
      <c r="B77" s="8" t="s">
        <v>136</v>
      </c>
      <c r="C77" s="8" t="s">
        <v>25</v>
      </c>
      <c r="D77" s="29" t="s">
        <v>2</v>
      </c>
      <c r="E77" s="19"/>
      <c r="F77" s="1">
        <v>5450</v>
      </c>
      <c r="G77" s="1">
        <f t="shared" si="5"/>
        <v>5107.1499999999996</v>
      </c>
      <c r="H77" s="1">
        <v>342.85</v>
      </c>
      <c r="I77" s="246"/>
      <c r="J77" s="1">
        <v>1424.4578153920952</v>
      </c>
      <c r="K77" s="1">
        <v>1424.4578153920952</v>
      </c>
      <c r="L77" s="1"/>
      <c r="M77" s="246"/>
      <c r="N77" s="1">
        <v>1723</v>
      </c>
      <c r="O77" s="1">
        <v>1723</v>
      </c>
      <c r="P77" s="1">
        <v>0</v>
      </c>
      <c r="Q77" s="246"/>
      <c r="R77" s="1">
        <v>0</v>
      </c>
      <c r="S77" s="1">
        <v>0</v>
      </c>
      <c r="T77" s="1">
        <v>0</v>
      </c>
      <c r="V77" s="4">
        <f t="shared" si="3"/>
        <v>8597.4578153920957</v>
      </c>
      <c r="W77" s="4">
        <f t="shared" si="3"/>
        <v>8254.6078153920953</v>
      </c>
      <c r="X77" s="4">
        <f t="shared" si="3"/>
        <v>342.85</v>
      </c>
      <c r="Z77" s="172">
        <f t="shared" si="4"/>
        <v>6874.4578153920957</v>
      </c>
      <c r="AB77" s="247">
        <v>0</v>
      </c>
      <c r="AC77" s="247">
        <v>0</v>
      </c>
      <c r="AD77" s="247">
        <v>0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</row>
    <row r="78" spans="1:49" x14ac:dyDescent="0.2">
      <c r="A78" s="8">
        <v>15240</v>
      </c>
      <c r="B78" s="8" t="s">
        <v>137</v>
      </c>
      <c r="C78" s="8" t="s">
        <v>43</v>
      </c>
      <c r="D78" s="29" t="s">
        <v>4</v>
      </c>
      <c r="E78" s="19"/>
      <c r="F78" s="1">
        <v>8726.15</v>
      </c>
      <c r="G78" s="1">
        <f t="shared" si="5"/>
        <v>8082.2099999999991</v>
      </c>
      <c r="H78" s="1">
        <v>643.94000000000005</v>
      </c>
      <c r="I78" s="246"/>
      <c r="J78" s="1">
        <v>2563.4908288533584</v>
      </c>
      <c r="K78" s="1">
        <v>2563.4908288533584</v>
      </c>
      <c r="L78" s="1"/>
      <c r="M78" s="246"/>
      <c r="N78" s="1">
        <v>3625.0800000000004</v>
      </c>
      <c r="O78" s="1">
        <v>3625.0800000000004</v>
      </c>
      <c r="P78" s="1">
        <v>0</v>
      </c>
      <c r="Q78" s="246"/>
      <c r="R78" s="1">
        <v>938.58</v>
      </c>
      <c r="S78" s="1">
        <v>938.58</v>
      </c>
      <c r="T78" s="1">
        <v>0</v>
      </c>
      <c r="V78" s="4">
        <f t="shared" si="3"/>
        <v>15853.300828853358</v>
      </c>
      <c r="W78" s="4">
        <f t="shared" si="3"/>
        <v>15209.360828853358</v>
      </c>
      <c r="X78" s="4">
        <f t="shared" si="3"/>
        <v>643.94000000000005</v>
      </c>
      <c r="Z78" s="172">
        <f t="shared" si="4"/>
        <v>11289.640828853358</v>
      </c>
      <c r="AB78" s="247">
        <v>0</v>
      </c>
      <c r="AC78" s="247">
        <v>0</v>
      </c>
      <c r="AD78" s="247">
        <v>0</v>
      </c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</row>
    <row r="79" spans="1:49" x14ac:dyDescent="0.2">
      <c r="A79" s="8">
        <v>15270</v>
      </c>
      <c r="B79" s="8" t="s">
        <v>138</v>
      </c>
      <c r="C79" s="8" t="s">
        <v>42</v>
      </c>
      <c r="D79" s="29" t="s">
        <v>1</v>
      </c>
      <c r="E79" s="19"/>
      <c r="F79" s="1">
        <v>2133.66</v>
      </c>
      <c r="G79" s="1">
        <f t="shared" si="5"/>
        <v>1768.0499999999997</v>
      </c>
      <c r="H79" s="1">
        <v>365.61</v>
      </c>
      <c r="I79" s="246"/>
      <c r="J79" s="1">
        <v>550.37919712811811</v>
      </c>
      <c r="K79" s="1">
        <v>550.37919712811811</v>
      </c>
      <c r="L79" s="1"/>
      <c r="M79" s="246"/>
      <c r="N79" s="1">
        <v>690.78</v>
      </c>
      <c r="O79" s="1">
        <v>690.78</v>
      </c>
      <c r="P79" s="1">
        <v>0</v>
      </c>
      <c r="Q79" s="246"/>
      <c r="R79" s="1">
        <v>0</v>
      </c>
      <c r="S79" s="1">
        <v>0</v>
      </c>
      <c r="T79" s="1">
        <v>0</v>
      </c>
      <c r="V79" s="4">
        <f t="shared" si="3"/>
        <v>3374.8191971281176</v>
      </c>
      <c r="W79" s="4">
        <f t="shared" si="3"/>
        <v>3009.2091971281179</v>
      </c>
      <c r="X79" s="4">
        <f t="shared" si="3"/>
        <v>365.61</v>
      </c>
      <c r="Z79" s="172">
        <f t="shared" si="4"/>
        <v>2684.0391971281178</v>
      </c>
      <c r="AB79" s="247">
        <v>0</v>
      </c>
      <c r="AC79" s="247">
        <v>0</v>
      </c>
      <c r="AD79" s="247">
        <v>0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</row>
    <row r="80" spans="1:49" x14ac:dyDescent="0.2">
      <c r="A80" s="8">
        <v>15300</v>
      </c>
      <c r="B80" s="8" t="s">
        <v>139</v>
      </c>
      <c r="C80" s="8" t="s">
        <v>17</v>
      </c>
      <c r="D80" s="29" t="s">
        <v>1</v>
      </c>
      <c r="E80" s="19"/>
      <c r="F80" s="1">
        <v>612.05999999999995</v>
      </c>
      <c r="G80" s="1">
        <f t="shared" si="5"/>
        <v>501.41999999999996</v>
      </c>
      <c r="H80" s="1">
        <v>110.64</v>
      </c>
      <c r="I80" s="246"/>
      <c r="J80" s="1">
        <v>453.64945651873705</v>
      </c>
      <c r="K80" s="1">
        <v>453.64945651873705</v>
      </c>
      <c r="L80" s="1"/>
      <c r="M80" s="246"/>
      <c r="N80" s="1">
        <v>810.14</v>
      </c>
      <c r="O80" s="1">
        <v>810.14</v>
      </c>
      <c r="P80" s="1">
        <v>0</v>
      </c>
      <c r="Q80" s="246"/>
      <c r="R80" s="1">
        <v>25.78</v>
      </c>
      <c r="S80" s="1">
        <v>25.78</v>
      </c>
      <c r="T80" s="1">
        <v>0</v>
      </c>
      <c r="V80" s="4">
        <f t="shared" si="3"/>
        <v>1901.6294565187368</v>
      </c>
      <c r="W80" s="4">
        <f t="shared" si="3"/>
        <v>1790.9894565187369</v>
      </c>
      <c r="X80" s="4">
        <f t="shared" si="3"/>
        <v>110.64</v>
      </c>
      <c r="Z80" s="172">
        <f t="shared" si="4"/>
        <v>1065.7094565187369</v>
      </c>
      <c r="AB80" s="247">
        <v>0</v>
      </c>
      <c r="AC80" s="247">
        <v>0</v>
      </c>
      <c r="AD80" s="247">
        <v>0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</row>
    <row r="81" spans="1:49" x14ac:dyDescent="0.2">
      <c r="A81" s="8">
        <v>15350</v>
      </c>
      <c r="B81" s="8" t="s">
        <v>140</v>
      </c>
      <c r="C81" s="8" t="s">
        <v>26</v>
      </c>
      <c r="D81" s="29" t="s">
        <v>3</v>
      </c>
      <c r="E81" s="19"/>
      <c r="F81" s="1">
        <v>2592</v>
      </c>
      <c r="G81" s="1">
        <f t="shared" si="5"/>
        <v>2495.3200000000002</v>
      </c>
      <c r="H81" s="1">
        <v>96.68</v>
      </c>
      <c r="I81" s="246"/>
      <c r="J81" s="1">
        <v>127.04060883465786</v>
      </c>
      <c r="K81" s="1">
        <v>127.04060883465786</v>
      </c>
      <c r="L81" s="1"/>
      <c r="M81" s="246"/>
      <c r="N81" s="1">
        <v>15</v>
      </c>
      <c r="O81" s="1">
        <v>15</v>
      </c>
      <c r="P81" s="1">
        <v>0</v>
      </c>
      <c r="Q81" s="246"/>
      <c r="R81" s="1">
        <v>41</v>
      </c>
      <c r="S81" s="1">
        <v>41</v>
      </c>
      <c r="T81" s="1">
        <v>0</v>
      </c>
      <c r="V81" s="4">
        <f t="shared" si="3"/>
        <v>2775.0406088346581</v>
      </c>
      <c r="W81" s="4">
        <f t="shared" si="3"/>
        <v>2678.3606088346578</v>
      </c>
      <c r="X81" s="4">
        <f t="shared" si="3"/>
        <v>96.68</v>
      </c>
      <c r="Z81" s="172">
        <f t="shared" si="4"/>
        <v>2719.0406088346581</v>
      </c>
      <c r="AB81" s="247">
        <v>0</v>
      </c>
      <c r="AC81" s="247">
        <v>0</v>
      </c>
      <c r="AD81" s="247">
        <v>0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</row>
    <row r="82" spans="1:49" x14ac:dyDescent="0.2">
      <c r="A82" s="8">
        <v>15520</v>
      </c>
      <c r="B82" s="8" t="s">
        <v>141</v>
      </c>
      <c r="C82" s="8" t="s">
        <v>73</v>
      </c>
      <c r="D82" s="29" t="s">
        <v>1</v>
      </c>
      <c r="E82" s="19"/>
      <c r="F82" s="1">
        <v>746.91</v>
      </c>
      <c r="G82" s="1">
        <f t="shared" si="5"/>
        <v>715.83999999999992</v>
      </c>
      <c r="H82" s="1">
        <v>31.07</v>
      </c>
      <c r="I82" s="246"/>
      <c r="J82" s="1">
        <v>1125.1329613949415</v>
      </c>
      <c r="K82" s="1">
        <v>1125.1329613949415</v>
      </c>
      <c r="L82" s="1"/>
      <c r="M82" s="246"/>
      <c r="N82" s="1">
        <v>0</v>
      </c>
      <c r="O82" s="1">
        <v>0</v>
      </c>
      <c r="P82" s="1">
        <v>0</v>
      </c>
      <c r="Q82" s="246"/>
      <c r="R82" s="1">
        <v>0</v>
      </c>
      <c r="S82" s="1">
        <v>0</v>
      </c>
      <c r="T82" s="1">
        <v>0</v>
      </c>
      <c r="V82" s="4">
        <f t="shared" si="3"/>
        <v>1872.0429613949414</v>
      </c>
      <c r="W82" s="4">
        <f t="shared" si="3"/>
        <v>1840.9729613949414</v>
      </c>
      <c r="X82" s="4">
        <f t="shared" si="3"/>
        <v>31.07</v>
      </c>
      <c r="Z82" s="172">
        <f t="shared" si="4"/>
        <v>1872.0429613949414</v>
      </c>
      <c r="AB82" s="247"/>
      <c r="AC82" s="247"/>
      <c r="AD82" s="247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</row>
    <row r="83" spans="1:49" x14ac:dyDescent="0.2">
      <c r="A83" s="8">
        <v>15560</v>
      </c>
      <c r="B83" s="8" t="s">
        <v>142</v>
      </c>
      <c r="C83" s="8" t="s">
        <v>75</v>
      </c>
      <c r="D83" s="29" t="s">
        <v>1</v>
      </c>
      <c r="E83" s="19"/>
      <c r="F83" s="1">
        <v>105.08</v>
      </c>
      <c r="G83" s="1">
        <f t="shared" si="5"/>
        <v>100.71</v>
      </c>
      <c r="H83" s="1">
        <v>4.37</v>
      </c>
      <c r="I83" s="246"/>
      <c r="J83" s="1">
        <v>0</v>
      </c>
      <c r="K83" s="1">
        <v>0</v>
      </c>
      <c r="L83" s="1"/>
      <c r="M83" s="246"/>
      <c r="N83" s="1">
        <v>0</v>
      </c>
      <c r="O83" s="1">
        <v>0</v>
      </c>
      <c r="P83" s="1">
        <v>0</v>
      </c>
      <c r="Q83" s="246"/>
      <c r="R83" s="1">
        <v>36</v>
      </c>
      <c r="S83" s="1">
        <v>0</v>
      </c>
      <c r="T83" s="1">
        <v>36</v>
      </c>
      <c r="V83" s="4">
        <f t="shared" si="3"/>
        <v>141.07999999999998</v>
      </c>
      <c r="W83" s="4">
        <f t="shared" si="3"/>
        <v>100.71</v>
      </c>
      <c r="X83" s="4">
        <f t="shared" si="3"/>
        <v>40.369999999999997</v>
      </c>
      <c r="Z83" s="172">
        <f t="shared" si="4"/>
        <v>105.08</v>
      </c>
      <c r="AB83" s="247"/>
      <c r="AC83" s="247"/>
      <c r="AD83" s="247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</row>
    <row r="84" spans="1:49" x14ac:dyDescent="0.2">
      <c r="A84" s="8">
        <v>15650</v>
      </c>
      <c r="B84" s="8" t="s">
        <v>143</v>
      </c>
      <c r="C84" s="8" t="s">
        <v>25</v>
      </c>
      <c r="D84" s="29" t="s">
        <v>4</v>
      </c>
      <c r="E84" s="19"/>
      <c r="F84" s="1">
        <v>982.73</v>
      </c>
      <c r="G84" s="1">
        <f t="shared" si="5"/>
        <v>822.23</v>
      </c>
      <c r="H84" s="1">
        <v>160.5</v>
      </c>
      <c r="I84" s="246"/>
      <c r="J84" s="1">
        <v>550.72928192919687</v>
      </c>
      <c r="K84" s="1">
        <v>550.72928192919687</v>
      </c>
      <c r="L84" s="1"/>
      <c r="M84" s="246"/>
      <c r="N84" s="1">
        <v>482.37</v>
      </c>
      <c r="O84" s="1">
        <v>481.69</v>
      </c>
      <c r="P84" s="1">
        <v>0.67999999999999994</v>
      </c>
      <c r="Q84" s="246"/>
      <c r="R84" s="1">
        <v>270.22000000000003</v>
      </c>
      <c r="S84" s="1">
        <v>270.22000000000003</v>
      </c>
      <c r="T84" s="1">
        <v>0</v>
      </c>
      <c r="V84" s="4">
        <f t="shared" si="3"/>
        <v>2286.0492819291967</v>
      </c>
      <c r="W84" s="4">
        <f t="shared" si="3"/>
        <v>2124.8692819291969</v>
      </c>
      <c r="X84" s="4">
        <f t="shared" si="3"/>
        <v>161.18</v>
      </c>
      <c r="Z84" s="172">
        <f t="shared" si="4"/>
        <v>1533.459281929197</v>
      </c>
      <c r="AB84" s="247">
        <v>0</v>
      </c>
      <c r="AC84" s="247">
        <v>0</v>
      </c>
      <c r="AD84" s="247">
        <v>0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</row>
    <row r="85" spans="1:49" x14ac:dyDescent="0.2">
      <c r="A85" s="8">
        <v>15700</v>
      </c>
      <c r="B85" s="8" t="s">
        <v>61</v>
      </c>
      <c r="C85" s="8" t="s">
        <v>43</v>
      </c>
      <c r="D85" s="29" t="s">
        <v>4</v>
      </c>
      <c r="E85" s="19"/>
      <c r="F85" s="1">
        <v>1455</v>
      </c>
      <c r="G85" s="1">
        <f t="shared" si="5"/>
        <v>1394.47</v>
      </c>
      <c r="H85" s="1">
        <v>60.53</v>
      </c>
      <c r="I85" s="246"/>
      <c r="J85" s="1">
        <v>649.25369232467892</v>
      </c>
      <c r="K85" s="1">
        <v>649.25369232467892</v>
      </c>
      <c r="L85" s="1"/>
      <c r="M85" s="246"/>
      <c r="N85" s="1">
        <v>265.70999999999998</v>
      </c>
      <c r="O85" s="1">
        <v>265.70999999999998</v>
      </c>
      <c r="P85" s="1">
        <v>0</v>
      </c>
      <c r="Q85" s="246"/>
      <c r="R85" s="1">
        <v>0</v>
      </c>
      <c r="S85" s="1">
        <v>0</v>
      </c>
      <c r="T85" s="1">
        <v>0</v>
      </c>
      <c r="V85" s="4">
        <f t="shared" si="3"/>
        <v>2369.963692324679</v>
      </c>
      <c r="W85" s="4">
        <f t="shared" si="3"/>
        <v>2309.4336923246792</v>
      </c>
      <c r="X85" s="4">
        <f t="shared" si="3"/>
        <v>60.53</v>
      </c>
      <c r="Z85" s="172">
        <f t="shared" si="4"/>
        <v>2104.2536923246789</v>
      </c>
      <c r="AB85" s="247"/>
      <c r="AC85" s="247"/>
      <c r="AD85" s="247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</row>
    <row r="86" spans="1:49" x14ac:dyDescent="0.2">
      <c r="A86" s="8">
        <v>15750</v>
      </c>
      <c r="B86" s="8" t="s">
        <v>144</v>
      </c>
      <c r="C86" s="8" t="s">
        <v>17</v>
      </c>
      <c r="D86" s="29" t="s">
        <v>1</v>
      </c>
      <c r="E86" s="19"/>
      <c r="F86" s="1">
        <v>531.15</v>
      </c>
      <c r="G86" s="1">
        <f t="shared" si="5"/>
        <v>509.04999999999995</v>
      </c>
      <c r="H86" s="1">
        <v>22.1</v>
      </c>
      <c r="I86" s="246"/>
      <c r="J86" s="1">
        <v>389.56357273961663</v>
      </c>
      <c r="K86" s="1">
        <v>389.56357273961663</v>
      </c>
      <c r="L86" s="1"/>
      <c r="M86" s="246"/>
      <c r="N86" s="1">
        <v>2862.6</v>
      </c>
      <c r="O86" s="1">
        <v>2862.6</v>
      </c>
      <c r="P86" s="1">
        <v>0</v>
      </c>
      <c r="Q86" s="246"/>
      <c r="R86" s="1">
        <v>0</v>
      </c>
      <c r="S86" s="1">
        <v>0</v>
      </c>
      <c r="T86" s="1">
        <v>0</v>
      </c>
      <c r="V86" s="4">
        <f t="shared" si="3"/>
        <v>3783.3135727396166</v>
      </c>
      <c r="W86" s="4">
        <f t="shared" si="3"/>
        <v>3761.2135727396162</v>
      </c>
      <c r="X86" s="4">
        <f t="shared" si="3"/>
        <v>22.1</v>
      </c>
      <c r="Z86" s="172">
        <f t="shared" si="4"/>
        <v>920.71357273961667</v>
      </c>
      <c r="AB86" s="247"/>
      <c r="AC86" s="247"/>
      <c r="AD86" s="247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</row>
    <row r="87" spans="1:49" x14ac:dyDescent="0.2">
      <c r="A87" s="8">
        <v>15800</v>
      </c>
      <c r="B87" s="8" t="s">
        <v>145</v>
      </c>
      <c r="C87" s="8" t="s">
        <v>75</v>
      </c>
      <c r="D87" s="29" t="s">
        <v>1</v>
      </c>
      <c r="E87" s="19"/>
      <c r="F87" s="1">
        <v>840</v>
      </c>
      <c r="G87" s="1">
        <f t="shared" si="5"/>
        <v>805.06</v>
      </c>
      <c r="H87" s="1">
        <v>34.94</v>
      </c>
      <c r="I87" s="246"/>
      <c r="J87" s="1">
        <v>133.7453338759837</v>
      </c>
      <c r="K87" s="1">
        <v>133.7453338759837</v>
      </c>
      <c r="L87" s="1"/>
      <c r="M87" s="246"/>
      <c r="N87" s="1">
        <v>30.04</v>
      </c>
      <c r="O87" s="1">
        <v>30.04</v>
      </c>
      <c r="P87" s="1">
        <v>0</v>
      </c>
      <c r="Q87" s="246"/>
      <c r="R87" s="1">
        <v>0</v>
      </c>
      <c r="S87" s="1">
        <v>0</v>
      </c>
      <c r="T87" s="1">
        <v>0</v>
      </c>
      <c r="V87" s="4">
        <f t="shared" si="3"/>
        <v>1003.7853338759837</v>
      </c>
      <c r="W87" s="4">
        <f t="shared" si="3"/>
        <v>968.84533387598367</v>
      </c>
      <c r="X87" s="4">
        <f t="shared" si="3"/>
        <v>34.94</v>
      </c>
      <c r="Z87" s="172">
        <f t="shared" si="4"/>
        <v>973.74533387598376</v>
      </c>
      <c r="AB87" s="247"/>
      <c r="AC87" s="247"/>
      <c r="AD87" s="247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</row>
    <row r="88" spans="1:49" x14ac:dyDescent="0.2">
      <c r="A88" s="8">
        <v>15850</v>
      </c>
      <c r="B88" s="8" t="s">
        <v>146</v>
      </c>
      <c r="C88" s="8" t="s">
        <v>42</v>
      </c>
      <c r="D88" s="29" t="s">
        <v>1</v>
      </c>
      <c r="E88" s="19"/>
      <c r="F88" s="1">
        <v>317</v>
      </c>
      <c r="G88" s="1">
        <f t="shared" si="5"/>
        <v>303.81</v>
      </c>
      <c r="H88" s="1">
        <v>13.19</v>
      </c>
      <c r="I88" s="246"/>
      <c r="J88" s="1">
        <v>0.44190872957892202</v>
      </c>
      <c r="K88" s="1">
        <v>0.44190872957892202</v>
      </c>
      <c r="L88" s="1"/>
      <c r="M88" s="246"/>
      <c r="N88" s="1">
        <v>0</v>
      </c>
      <c r="O88" s="1">
        <v>0</v>
      </c>
      <c r="P88" s="1">
        <v>0</v>
      </c>
      <c r="Q88" s="246"/>
      <c r="R88" s="1">
        <v>0</v>
      </c>
      <c r="S88" s="1">
        <v>0</v>
      </c>
      <c r="T88" s="1">
        <v>0</v>
      </c>
      <c r="V88" s="4">
        <f t="shared" si="3"/>
        <v>317.44190872957893</v>
      </c>
      <c r="W88" s="4">
        <f t="shared" si="3"/>
        <v>304.25190872957893</v>
      </c>
      <c r="X88" s="4">
        <f t="shared" si="3"/>
        <v>13.19</v>
      </c>
      <c r="Z88" s="172">
        <f t="shared" si="4"/>
        <v>317.44190872957893</v>
      </c>
      <c r="AB88" s="247"/>
      <c r="AC88" s="247"/>
      <c r="AD88" s="247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</row>
    <row r="89" spans="1:49" x14ac:dyDescent="0.2">
      <c r="A89" s="8">
        <v>15900</v>
      </c>
      <c r="B89" s="8" t="s">
        <v>147</v>
      </c>
      <c r="C89" s="8" t="s">
        <v>25</v>
      </c>
      <c r="D89" s="29" t="s">
        <v>2</v>
      </c>
      <c r="E89" s="19"/>
      <c r="F89" s="1">
        <v>13396.37</v>
      </c>
      <c r="G89" s="1">
        <v>12056.730000000001</v>
      </c>
      <c r="H89" s="1">
        <v>1339.64</v>
      </c>
      <c r="I89" s="246"/>
      <c r="J89" s="1">
        <v>3321.056196452621</v>
      </c>
      <c r="K89" s="1">
        <v>3321.056196452621</v>
      </c>
      <c r="L89" s="1"/>
      <c r="M89" s="246"/>
      <c r="N89" s="1">
        <v>0</v>
      </c>
      <c r="O89" s="1">
        <v>0</v>
      </c>
      <c r="P89" s="1">
        <v>0</v>
      </c>
      <c r="Q89" s="246"/>
      <c r="R89" s="1">
        <v>0</v>
      </c>
      <c r="S89" s="1">
        <v>0</v>
      </c>
      <c r="T89" s="1">
        <v>0</v>
      </c>
      <c r="V89" s="4">
        <f t="shared" si="3"/>
        <v>16717.426196452623</v>
      </c>
      <c r="W89" s="4">
        <f t="shared" si="3"/>
        <v>15377.786196452622</v>
      </c>
      <c r="X89" s="4">
        <f t="shared" si="3"/>
        <v>1339.64</v>
      </c>
      <c r="Z89" s="172">
        <f t="shared" si="4"/>
        <v>16717.426196452623</v>
      </c>
      <c r="AB89" s="247">
        <v>2.56</v>
      </c>
      <c r="AC89" s="247">
        <v>2</v>
      </c>
      <c r="AD89" s="247">
        <v>0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</row>
    <row r="90" spans="1:49" x14ac:dyDescent="0.2">
      <c r="A90" s="8">
        <v>15950</v>
      </c>
      <c r="B90" s="8" t="s">
        <v>62</v>
      </c>
      <c r="C90" s="8" t="s">
        <v>26</v>
      </c>
      <c r="D90" s="29" t="s">
        <v>3</v>
      </c>
      <c r="E90" s="19"/>
      <c r="F90" s="1">
        <v>5933</v>
      </c>
      <c r="G90" s="1">
        <f>F90-H90</f>
        <v>5576.43</v>
      </c>
      <c r="H90" s="1">
        <v>356.57</v>
      </c>
      <c r="I90" s="246"/>
      <c r="J90" s="1">
        <v>66.087516095025592</v>
      </c>
      <c r="K90" s="1">
        <v>66.087516095025592</v>
      </c>
      <c r="L90" s="1"/>
      <c r="M90" s="246"/>
      <c r="N90" s="1">
        <v>270</v>
      </c>
      <c r="O90" s="1">
        <v>270</v>
      </c>
      <c r="P90" s="1">
        <v>0</v>
      </c>
      <c r="Q90" s="246"/>
      <c r="R90" s="1">
        <v>0</v>
      </c>
      <c r="S90" s="1">
        <v>0</v>
      </c>
      <c r="T90" s="1">
        <v>0</v>
      </c>
      <c r="V90" s="4">
        <f t="shared" si="3"/>
        <v>6269.0875160950254</v>
      </c>
      <c r="W90" s="4">
        <f t="shared" si="3"/>
        <v>5912.5175160950257</v>
      </c>
      <c r="X90" s="4">
        <f t="shared" si="3"/>
        <v>356.57</v>
      </c>
      <c r="Z90" s="172">
        <f t="shared" si="4"/>
        <v>5999.0875160950254</v>
      </c>
      <c r="AB90" s="247">
        <v>0</v>
      </c>
      <c r="AC90" s="247">
        <v>0</v>
      </c>
      <c r="AD90" s="247">
        <v>0</v>
      </c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</row>
    <row r="91" spans="1:49" x14ac:dyDescent="0.2">
      <c r="A91" s="8">
        <v>15990</v>
      </c>
      <c r="B91" s="8" t="s">
        <v>148</v>
      </c>
      <c r="C91" s="8"/>
      <c r="D91" s="29" t="s">
        <v>3</v>
      </c>
      <c r="E91" s="19"/>
      <c r="F91" s="1">
        <v>23181.93</v>
      </c>
      <c r="G91" s="1">
        <f>F91-H91</f>
        <v>22233.79</v>
      </c>
      <c r="H91" s="1">
        <v>948.14</v>
      </c>
      <c r="I91" s="246"/>
      <c r="J91" s="1">
        <v>3595.5868336567519</v>
      </c>
      <c r="K91" s="1">
        <v>3595.5868336567519</v>
      </c>
      <c r="L91" s="1"/>
      <c r="M91" s="246"/>
      <c r="N91" s="1">
        <v>0.78</v>
      </c>
      <c r="O91" s="1">
        <v>0.78</v>
      </c>
      <c r="P91" s="1">
        <v>0</v>
      </c>
      <c r="Q91" s="246"/>
      <c r="R91" s="1">
        <v>17.43</v>
      </c>
      <c r="S91" s="1">
        <v>0</v>
      </c>
      <c r="T91" s="1">
        <v>17.43</v>
      </c>
      <c r="V91" s="4">
        <f t="shared" si="3"/>
        <v>26795.72683365675</v>
      </c>
      <c r="W91" s="4">
        <f t="shared" si="3"/>
        <v>25830.156833656751</v>
      </c>
      <c r="X91" s="4">
        <f t="shared" si="3"/>
        <v>965.56999999999994</v>
      </c>
      <c r="Z91" s="172">
        <f t="shared" si="4"/>
        <v>26777.516833656751</v>
      </c>
      <c r="AB91" s="247">
        <v>0</v>
      </c>
      <c r="AC91" s="247">
        <v>0</v>
      </c>
      <c r="AD91" s="247">
        <v>0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</row>
    <row r="92" spans="1:49" x14ac:dyDescent="0.2">
      <c r="A92" s="8">
        <v>16100</v>
      </c>
      <c r="B92" s="8" t="s">
        <v>149</v>
      </c>
      <c r="C92" s="8" t="s">
        <v>42</v>
      </c>
      <c r="D92" s="29" t="s">
        <v>1</v>
      </c>
      <c r="E92" s="19"/>
      <c r="F92" s="1">
        <v>0</v>
      </c>
      <c r="G92" s="1">
        <v>0</v>
      </c>
      <c r="H92" s="1">
        <v>0</v>
      </c>
      <c r="I92" s="246"/>
      <c r="J92" s="1">
        <v>9.8661486643375937</v>
      </c>
      <c r="K92" s="1">
        <v>9.8661486643375937</v>
      </c>
      <c r="L92" s="1"/>
      <c r="M92" s="246"/>
      <c r="N92" s="1">
        <v>673</v>
      </c>
      <c r="O92" s="1">
        <v>668</v>
      </c>
      <c r="P92" s="1">
        <v>5</v>
      </c>
      <c r="Q92" s="246"/>
      <c r="R92" s="1">
        <v>12.3</v>
      </c>
      <c r="S92" s="1">
        <v>12</v>
      </c>
      <c r="T92" s="1">
        <v>0.3</v>
      </c>
      <c r="V92" s="4">
        <f t="shared" si="3"/>
        <v>695.16614866433758</v>
      </c>
      <c r="W92" s="4">
        <f t="shared" si="3"/>
        <v>689.86614866433763</v>
      </c>
      <c r="X92" s="4">
        <f t="shared" si="3"/>
        <v>5.3</v>
      </c>
      <c r="Z92" s="172">
        <f t="shared" si="4"/>
        <v>9.8661486643375937</v>
      </c>
      <c r="AB92" s="247">
        <v>0</v>
      </c>
      <c r="AC92" s="247">
        <v>0</v>
      </c>
      <c r="AD92" s="247">
        <v>0</v>
      </c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</row>
    <row r="93" spans="1:49" x14ac:dyDescent="0.2">
      <c r="A93" s="8">
        <v>16150</v>
      </c>
      <c r="B93" s="8" t="s">
        <v>150</v>
      </c>
      <c r="C93" s="8" t="s">
        <v>42</v>
      </c>
      <c r="D93" s="29" t="s">
        <v>1</v>
      </c>
      <c r="E93" s="19"/>
      <c r="F93" s="1">
        <v>2951.38</v>
      </c>
      <c r="G93" s="1">
        <v>2931.78</v>
      </c>
      <c r="H93" s="1">
        <v>19.600000000000001</v>
      </c>
      <c r="I93" s="246"/>
      <c r="J93" s="1">
        <v>880.5162986153141</v>
      </c>
      <c r="K93" s="1">
        <v>880.5162986153141</v>
      </c>
      <c r="L93" s="1"/>
      <c r="M93" s="246"/>
      <c r="N93" s="1">
        <v>605</v>
      </c>
      <c r="O93" s="1">
        <v>605</v>
      </c>
      <c r="P93" s="1">
        <v>0</v>
      </c>
      <c r="Q93" s="246"/>
      <c r="R93" s="1">
        <v>203.9</v>
      </c>
      <c r="S93" s="1">
        <v>202.66</v>
      </c>
      <c r="T93" s="1">
        <v>1.24</v>
      </c>
      <c r="V93" s="4">
        <f t="shared" si="3"/>
        <v>4640.7962986153143</v>
      </c>
      <c r="W93" s="4">
        <f t="shared" si="3"/>
        <v>4619.9562986153142</v>
      </c>
      <c r="X93" s="4">
        <f t="shared" si="3"/>
        <v>20.84</v>
      </c>
      <c r="Z93" s="172">
        <f t="shared" si="4"/>
        <v>3831.8962986153142</v>
      </c>
      <c r="AB93" s="247">
        <v>782.1</v>
      </c>
      <c r="AC93" s="247">
        <v>782</v>
      </c>
      <c r="AD93" s="247">
        <v>0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</row>
    <row r="94" spans="1:49" x14ac:dyDescent="0.2">
      <c r="A94" s="8">
        <v>16200</v>
      </c>
      <c r="B94" s="8" t="s">
        <v>151</v>
      </c>
      <c r="C94" s="8" t="s">
        <v>42</v>
      </c>
      <c r="D94" s="29" t="s">
        <v>1</v>
      </c>
      <c r="E94" s="19"/>
      <c r="F94" s="1">
        <v>777</v>
      </c>
      <c r="G94" s="1">
        <v>712.95</v>
      </c>
      <c r="H94" s="1">
        <v>64.05</v>
      </c>
      <c r="I94" s="246"/>
      <c r="J94" s="1">
        <v>395.88786153910445</v>
      </c>
      <c r="K94" s="1">
        <v>395.88786153910445</v>
      </c>
      <c r="L94" s="1"/>
      <c r="M94" s="246"/>
      <c r="N94" s="1">
        <v>2024</v>
      </c>
      <c r="O94" s="1">
        <v>2011.9</v>
      </c>
      <c r="P94" s="1">
        <v>12.1</v>
      </c>
      <c r="Q94" s="246"/>
      <c r="R94" s="1">
        <v>23</v>
      </c>
      <c r="S94" s="1">
        <v>22</v>
      </c>
      <c r="T94" s="1">
        <v>1</v>
      </c>
      <c r="V94" s="4">
        <f t="shared" si="3"/>
        <v>3219.8878615391045</v>
      </c>
      <c r="W94" s="4">
        <f t="shared" si="3"/>
        <v>3142.7378615391049</v>
      </c>
      <c r="X94" s="4">
        <f t="shared" si="3"/>
        <v>77.149999999999991</v>
      </c>
      <c r="Z94" s="172">
        <f t="shared" si="4"/>
        <v>1172.8878615391045</v>
      </c>
      <c r="AB94" s="247">
        <v>3582.81</v>
      </c>
      <c r="AC94" s="247">
        <v>3582</v>
      </c>
      <c r="AD94" s="247">
        <v>0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</row>
    <row r="95" spans="1:49" x14ac:dyDescent="0.2">
      <c r="A95" s="8">
        <v>16260</v>
      </c>
      <c r="B95" s="8" t="s">
        <v>63</v>
      </c>
      <c r="C95" s="8" t="s">
        <v>19</v>
      </c>
      <c r="D95" s="29" t="s">
        <v>3</v>
      </c>
      <c r="E95" s="19"/>
      <c r="F95" s="1">
        <v>11538</v>
      </c>
      <c r="G95" s="1">
        <v>10373</v>
      </c>
      <c r="H95" s="1">
        <v>1165</v>
      </c>
      <c r="I95" s="246"/>
      <c r="J95" s="1">
        <v>1272.3442160506715</v>
      </c>
      <c r="K95" s="1">
        <v>1272.3442160506715</v>
      </c>
      <c r="L95" s="1"/>
      <c r="M95" s="246"/>
      <c r="N95" s="1">
        <v>68</v>
      </c>
      <c r="O95" s="1">
        <v>68</v>
      </c>
      <c r="P95" s="1">
        <v>0</v>
      </c>
      <c r="Q95" s="246"/>
      <c r="R95" s="1">
        <v>1174</v>
      </c>
      <c r="S95" s="1">
        <v>1174</v>
      </c>
      <c r="T95" s="1">
        <v>0</v>
      </c>
      <c r="V95" s="4">
        <f t="shared" si="3"/>
        <v>14052.344216050671</v>
      </c>
      <c r="W95" s="4">
        <f t="shared" si="3"/>
        <v>12887.344216050671</v>
      </c>
      <c r="X95" s="4">
        <f t="shared" si="3"/>
        <v>1165</v>
      </c>
      <c r="Z95" s="172">
        <f t="shared" si="4"/>
        <v>12810.344216050671</v>
      </c>
      <c r="AB95" s="247">
        <v>0</v>
      </c>
      <c r="AC95" s="247">
        <v>0</v>
      </c>
      <c r="AD95" s="247">
        <v>0</v>
      </c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</row>
    <row r="96" spans="1:49" x14ac:dyDescent="0.2">
      <c r="A96" s="8">
        <v>16350</v>
      </c>
      <c r="B96" s="8" t="s">
        <v>64</v>
      </c>
      <c r="C96" s="8" t="s">
        <v>19</v>
      </c>
      <c r="D96" s="29" t="s">
        <v>3</v>
      </c>
      <c r="E96" s="19"/>
      <c r="F96" s="1">
        <v>16487.71</v>
      </c>
      <c r="G96" s="1">
        <v>14965.48</v>
      </c>
      <c r="H96" s="1">
        <v>1522.23</v>
      </c>
      <c r="I96" s="246"/>
      <c r="J96" s="1">
        <v>4129.4870925891573</v>
      </c>
      <c r="K96" s="1">
        <v>4129.4870925891573</v>
      </c>
      <c r="L96" s="1"/>
      <c r="M96" s="246"/>
      <c r="N96" s="1">
        <v>24.24</v>
      </c>
      <c r="O96" s="1">
        <v>23.029999999999998</v>
      </c>
      <c r="P96" s="1">
        <v>1.21</v>
      </c>
      <c r="Q96" s="246"/>
      <c r="R96" s="1">
        <v>538.24</v>
      </c>
      <c r="S96" s="1">
        <v>538.24</v>
      </c>
      <c r="T96" s="1">
        <v>0</v>
      </c>
      <c r="V96" s="4">
        <f t="shared" si="3"/>
        <v>21179.677092589161</v>
      </c>
      <c r="W96" s="4">
        <f t="shared" si="3"/>
        <v>19656.237092589159</v>
      </c>
      <c r="X96" s="4">
        <f t="shared" si="3"/>
        <v>1523.44</v>
      </c>
      <c r="Z96" s="172">
        <f t="shared" si="4"/>
        <v>20617.197092589158</v>
      </c>
      <c r="AB96" s="247">
        <v>0</v>
      </c>
      <c r="AC96" s="247">
        <v>0</v>
      </c>
      <c r="AD96" s="247">
        <v>0</v>
      </c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</row>
    <row r="97" spans="1:49" x14ac:dyDescent="0.2">
      <c r="A97" s="8">
        <v>16380</v>
      </c>
      <c r="B97" s="8" t="s">
        <v>152</v>
      </c>
      <c r="C97" s="8" t="s">
        <v>43</v>
      </c>
      <c r="D97" s="29" t="s">
        <v>4</v>
      </c>
      <c r="E97" s="19"/>
      <c r="F97" s="1">
        <v>7187.02</v>
      </c>
      <c r="G97" s="1">
        <v>5943.6200000000008</v>
      </c>
      <c r="H97" s="1">
        <v>1243.4000000000001</v>
      </c>
      <c r="I97" s="246"/>
      <c r="J97" s="1">
        <v>2079.1810057139751</v>
      </c>
      <c r="K97" s="1">
        <v>2079.1810057139751</v>
      </c>
      <c r="L97" s="1"/>
      <c r="M97" s="246"/>
      <c r="N97" s="1">
        <v>2409.5299999999997</v>
      </c>
      <c r="O97" s="1">
        <v>2409.5299999999997</v>
      </c>
      <c r="P97" s="1">
        <v>0</v>
      </c>
      <c r="Q97" s="246"/>
      <c r="R97" s="1">
        <v>3.52</v>
      </c>
      <c r="S97" s="1">
        <v>3.52</v>
      </c>
      <c r="T97" s="1">
        <v>0</v>
      </c>
      <c r="V97" s="4">
        <f t="shared" si="3"/>
        <v>11679.251005713975</v>
      </c>
      <c r="W97" s="4">
        <f t="shared" si="3"/>
        <v>10435.851005713977</v>
      </c>
      <c r="X97" s="4">
        <f t="shared" si="3"/>
        <v>1243.4000000000001</v>
      </c>
      <c r="Z97" s="172">
        <f t="shared" si="4"/>
        <v>9266.201005713976</v>
      </c>
      <c r="AB97" s="247">
        <v>0</v>
      </c>
      <c r="AC97" s="247">
        <v>0</v>
      </c>
      <c r="AD97" s="247">
        <v>0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</row>
    <row r="98" spans="1:49" x14ac:dyDescent="0.2">
      <c r="A98" s="8">
        <v>16400</v>
      </c>
      <c r="B98" s="8" t="s">
        <v>65</v>
      </c>
      <c r="C98" s="8" t="s">
        <v>25</v>
      </c>
      <c r="D98" s="29" t="s">
        <v>2</v>
      </c>
      <c r="E98" s="19"/>
      <c r="F98" s="1">
        <v>6123.9</v>
      </c>
      <c r="G98" s="1">
        <v>5510.3499999999995</v>
      </c>
      <c r="H98" s="1">
        <v>613.54999999999995</v>
      </c>
      <c r="I98" s="246"/>
      <c r="J98" s="1">
        <v>2221.0855101918382</v>
      </c>
      <c r="K98" s="1">
        <v>2221.0855101918382</v>
      </c>
      <c r="L98" s="1"/>
      <c r="M98" s="246"/>
      <c r="N98" s="1">
        <v>868.43</v>
      </c>
      <c r="O98" s="1">
        <v>868.43</v>
      </c>
      <c r="P98" s="1">
        <v>0</v>
      </c>
      <c r="Q98" s="246"/>
      <c r="R98" s="1">
        <v>357.17</v>
      </c>
      <c r="S98" s="1">
        <v>357.17</v>
      </c>
      <c r="T98" s="1">
        <v>0</v>
      </c>
      <c r="V98" s="4">
        <f t="shared" si="3"/>
        <v>9570.5855101918387</v>
      </c>
      <c r="W98" s="4">
        <f t="shared" si="3"/>
        <v>8957.0355101918376</v>
      </c>
      <c r="X98" s="4">
        <f t="shared" si="3"/>
        <v>613.54999999999995</v>
      </c>
      <c r="Z98" s="172">
        <f t="shared" si="4"/>
        <v>8344.9855101918383</v>
      </c>
      <c r="AB98" s="247">
        <v>0</v>
      </c>
      <c r="AC98" s="247">
        <v>0</v>
      </c>
      <c r="AD98" s="247">
        <v>0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</row>
    <row r="99" spans="1:49" x14ac:dyDescent="0.2">
      <c r="A99" s="8">
        <v>16490</v>
      </c>
      <c r="B99" s="8" t="s">
        <v>153</v>
      </c>
      <c r="C99" s="8" t="s">
        <v>74</v>
      </c>
      <c r="D99" s="29" t="s">
        <v>1</v>
      </c>
      <c r="E99" s="19"/>
      <c r="F99" s="1">
        <v>3852.85</v>
      </c>
      <c r="G99" s="1">
        <v>3467.85</v>
      </c>
      <c r="H99" s="1">
        <v>385</v>
      </c>
      <c r="I99" s="246"/>
      <c r="J99" s="1">
        <v>1499.9548184889729</v>
      </c>
      <c r="K99" s="1">
        <v>1499.9548184889729</v>
      </c>
      <c r="L99" s="1"/>
      <c r="M99" s="246"/>
      <c r="N99" s="1">
        <v>1707.9900000000002</v>
      </c>
      <c r="O99" s="1">
        <v>1707.9900000000002</v>
      </c>
      <c r="P99" s="1">
        <v>0</v>
      </c>
      <c r="Q99" s="246"/>
      <c r="R99" s="1">
        <v>88.5</v>
      </c>
      <c r="S99" s="1">
        <v>88.5</v>
      </c>
      <c r="T99" s="1">
        <v>0</v>
      </c>
      <c r="V99" s="4">
        <f t="shared" si="3"/>
        <v>7149.2948184889729</v>
      </c>
      <c r="W99" s="4">
        <f t="shared" si="3"/>
        <v>6764.2948184889729</v>
      </c>
      <c r="X99" s="4">
        <f t="shared" si="3"/>
        <v>385</v>
      </c>
      <c r="Z99" s="172">
        <f t="shared" si="4"/>
        <v>5352.8048184889731</v>
      </c>
      <c r="AB99" s="247"/>
      <c r="AC99" s="247"/>
      <c r="AD99" s="247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</row>
    <row r="100" spans="1:49" x14ac:dyDescent="0.2">
      <c r="A100" s="8">
        <v>16550</v>
      </c>
      <c r="B100" s="8" t="s">
        <v>66</v>
      </c>
      <c r="C100" s="8" t="s">
        <v>18</v>
      </c>
      <c r="D100" s="29" t="s">
        <v>3</v>
      </c>
      <c r="E100" s="19"/>
      <c r="F100" s="1">
        <v>9900</v>
      </c>
      <c r="G100" s="1">
        <v>8405</v>
      </c>
      <c r="H100" s="1">
        <v>1495</v>
      </c>
      <c r="I100" s="246"/>
      <c r="J100" s="1">
        <v>1369.0768558763509</v>
      </c>
      <c r="K100" s="1">
        <v>1369.0768558763509</v>
      </c>
      <c r="L100" s="1"/>
      <c r="M100" s="246"/>
      <c r="N100" s="1">
        <v>515</v>
      </c>
      <c r="O100" s="1">
        <v>515</v>
      </c>
      <c r="P100" s="1">
        <v>0</v>
      </c>
      <c r="Q100" s="246"/>
      <c r="R100" s="1">
        <v>368</v>
      </c>
      <c r="S100" s="1">
        <v>368</v>
      </c>
      <c r="T100" s="1">
        <v>0</v>
      </c>
      <c r="V100" s="4">
        <f t="shared" si="3"/>
        <v>12152.07685587635</v>
      </c>
      <c r="W100" s="4">
        <f t="shared" si="3"/>
        <v>10657.07685587635</v>
      </c>
      <c r="X100" s="4">
        <f t="shared" si="3"/>
        <v>1495</v>
      </c>
      <c r="Z100" s="172">
        <f t="shared" si="4"/>
        <v>11269.07685587635</v>
      </c>
      <c r="AB100" s="247">
        <v>0</v>
      </c>
      <c r="AC100" s="247">
        <v>0</v>
      </c>
      <c r="AD100" s="247">
        <v>0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</row>
    <row r="101" spans="1:49" x14ac:dyDescent="0.2">
      <c r="A101" s="8">
        <v>16610</v>
      </c>
      <c r="B101" s="8" t="s">
        <v>154</v>
      </c>
      <c r="C101" s="8" t="s">
        <v>20</v>
      </c>
      <c r="D101" s="29" t="s">
        <v>4</v>
      </c>
      <c r="E101" s="19"/>
      <c r="F101" s="1">
        <v>1470</v>
      </c>
      <c r="G101" s="1">
        <v>966</v>
      </c>
      <c r="H101" s="1">
        <v>504</v>
      </c>
      <c r="I101" s="246"/>
      <c r="J101" s="1">
        <v>1033.8166948680421</v>
      </c>
      <c r="K101" s="1">
        <v>1033.8166948680421</v>
      </c>
      <c r="L101" s="1"/>
      <c r="M101" s="246"/>
      <c r="N101" s="1">
        <v>1367</v>
      </c>
      <c r="O101" s="1">
        <v>1367</v>
      </c>
      <c r="P101" s="1">
        <v>0</v>
      </c>
      <c r="Q101" s="246"/>
      <c r="R101" s="1">
        <v>0</v>
      </c>
      <c r="S101" s="1">
        <v>0</v>
      </c>
      <c r="T101" s="1">
        <v>0</v>
      </c>
      <c r="V101" s="4">
        <f t="shared" si="3"/>
        <v>3870.8166948680418</v>
      </c>
      <c r="W101" s="4">
        <f t="shared" si="3"/>
        <v>3366.8166948680418</v>
      </c>
      <c r="X101" s="4">
        <f t="shared" si="3"/>
        <v>504</v>
      </c>
      <c r="Z101" s="172">
        <f t="shared" si="4"/>
        <v>2503.8166948680418</v>
      </c>
      <c r="AB101" s="247">
        <v>19</v>
      </c>
      <c r="AC101" s="247">
        <v>19</v>
      </c>
      <c r="AD101" s="247">
        <v>0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</row>
    <row r="102" spans="1:49" x14ac:dyDescent="0.2">
      <c r="A102" s="8">
        <v>16700</v>
      </c>
      <c r="B102" s="8" t="s">
        <v>67</v>
      </c>
      <c r="C102" s="8" t="s">
        <v>26</v>
      </c>
      <c r="D102" s="29" t="s">
        <v>3</v>
      </c>
      <c r="E102" s="19"/>
      <c r="F102" s="1">
        <v>8196.98</v>
      </c>
      <c r="G102" s="1">
        <v>7442.8799999999992</v>
      </c>
      <c r="H102" s="1">
        <v>754.1</v>
      </c>
      <c r="I102" s="246"/>
      <c r="J102" s="1">
        <v>1214.9222777941179</v>
      </c>
      <c r="K102" s="1">
        <v>1214.9222777941179</v>
      </c>
      <c r="L102" s="1"/>
      <c r="M102" s="246"/>
      <c r="N102" s="1">
        <v>3.62</v>
      </c>
      <c r="O102" s="1">
        <v>3.62</v>
      </c>
      <c r="P102" s="1">
        <v>0</v>
      </c>
      <c r="Q102" s="246"/>
      <c r="R102" s="1">
        <v>34.85</v>
      </c>
      <c r="S102" s="1">
        <v>34.85</v>
      </c>
      <c r="T102" s="1">
        <v>0</v>
      </c>
      <c r="V102" s="4">
        <f t="shared" si="3"/>
        <v>9450.3722777941184</v>
      </c>
      <c r="W102" s="4">
        <f t="shared" si="3"/>
        <v>8696.2722777941181</v>
      </c>
      <c r="X102" s="4">
        <f t="shared" si="3"/>
        <v>754.1</v>
      </c>
      <c r="Z102" s="172">
        <f t="shared" si="4"/>
        <v>9411.9022777941173</v>
      </c>
      <c r="AB102" s="247">
        <v>0</v>
      </c>
      <c r="AC102" s="247">
        <v>0</v>
      </c>
      <c r="AD102" s="247">
        <v>0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</row>
    <row r="103" spans="1:49" x14ac:dyDescent="0.2">
      <c r="A103" s="8">
        <v>16900</v>
      </c>
      <c r="B103" s="8" t="s">
        <v>155</v>
      </c>
      <c r="C103" s="8" t="s">
        <v>41</v>
      </c>
      <c r="D103" s="29" t="s">
        <v>2</v>
      </c>
      <c r="E103" s="19"/>
      <c r="F103" s="1">
        <v>5609</v>
      </c>
      <c r="G103" s="1">
        <v>5093</v>
      </c>
      <c r="H103" s="1">
        <v>516</v>
      </c>
      <c r="I103" s="246"/>
      <c r="J103" s="1">
        <v>1447.1878396992304</v>
      </c>
      <c r="K103" s="1">
        <v>1447.1878396992304</v>
      </c>
      <c r="L103" s="1"/>
      <c r="M103" s="246"/>
      <c r="N103" s="1">
        <v>1796.11</v>
      </c>
      <c r="O103" s="1">
        <v>1796.11</v>
      </c>
      <c r="P103" s="1">
        <v>0</v>
      </c>
      <c r="Q103" s="246"/>
      <c r="R103" s="1">
        <v>0</v>
      </c>
      <c r="S103" s="1">
        <v>0</v>
      </c>
      <c r="T103" s="1">
        <v>0</v>
      </c>
      <c r="V103" s="4">
        <f t="shared" si="3"/>
        <v>8852.2978396992294</v>
      </c>
      <c r="W103" s="4">
        <f t="shared" si="3"/>
        <v>8336.2978396992294</v>
      </c>
      <c r="X103" s="4">
        <f t="shared" si="3"/>
        <v>516</v>
      </c>
      <c r="Z103" s="172">
        <f t="shared" si="4"/>
        <v>7056.1878396992306</v>
      </c>
      <c r="AB103" s="247">
        <v>0</v>
      </c>
      <c r="AC103" s="247">
        <v>0</v>
      </c>
      <c r="AD103" s="247">
        <v>0</v>
      </c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</row>
    <row r="104" spans="1:49" x14ac:dyDescent="0.2">
      <c r="A104" s="8">
        <v>16950</v>
      </c>
      <c r="B104" s="8" t="s">
        <v>156</v>
      </c>
      <c r="C104" s="8" t="s">
        <v>41</v>
      </c>
      <c r="D104" s="29" t="s">
        <v>2</v>
      </c>
      <c r="E104" s="19"/>
      <c r="F104" s="1">
        <v>10927</v>
      </c>
      <c r="G104" s="1">
        <v>8453</v>
      </c>
      <c r="H104" s="1">
        <v>2474</v>
      </c>
      <c r="I104" s="246"/>
      <c r="J104" s="1">
        <v>3006.3680151962517</v>
      </c>
      <c r="K104" s="1">
        <v>3006.3680151962517</v>
      </c>
      <c r="L104" s="1"/>
      <c r="M104" s="246"/>
      <c r="N104" s="1">
        <v>9744.1999999999989</v>
      </c>
      <c r="O104" s="1">
        <v>9744.1999999999989</v>
      </c>
      <c r="P104" s="1">
        <v>0</v>
      </c>
      <c r="Q104" s="246"/>
      <c r="R104" s="1">
        <v>832.56</v>
      </c>
      <c r="S104" s="1">
        <v>832.56</v>
      </c>
      <c r="T104" s="1">
        <v>0</v>
      </c>
      <c r="V104" s="4">
        <f t="shared" si="3"/>
        <v>24510.128015196249</v>
      </c>
      <c r="W104" s="4">
        <f t="shared" si="3"/>
        <v>22036.128015196249</v>
      </c>
      <c r="X104" s="4">
        <f t="shared" si="3"/>
        <v>2474</v>
      </c>
      <c r="Z104" s="172">
        <f t="shared" si="4"/>
        <v>13933.368015196251</v>
      </c>
      <c r="AB104" s="247">
        <v>0</v>
      </c>
      <c r="AC104" s="247">
        <v>0</v>
      </c>
      <c r="AD104" s="247">
        <v>0</v>
      </c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</row>
    <row r="105" spans="1:49" x14ac:dyDescent="0.2">
      <c r="A105" s="8">
        <v>17000</v>
      </c>
      <c r="B105" s="8" t="s">
        <v>157</v>
      </c>
      <c r="C105" s="8" t="s">
        <v>25</v>
      </c>
      <c r="D105" s="29" t="s">
        <v>4</v>
      </c>
      <c r="E105" s="19"/>
      <c r="F105" s="1">
        <v>1424.65</v>
      </c>
      <c r="G105" s="1">
        <v>1324.8300000000002</v>
      </c>
      <c r="H105" s="1">
        <v>99.82</v>
      </c>
      <c r="I105" s="246"/>
      <c r="J105" s="1">
        <v>582.8110361616549</v>
      </c>
      <c r="K105" s="1">
        <v>582.8110361616549</v>
      </c>
      <c r="L105" s="1"/>
      <c r="M105" s="246"/>
      <c r="N105" s="1">
        <v>948.93000000000006</v>
      </c>
      <c r="O105" s="1">
        <v>948.93000000000006</v>
      </c>
      <c r="P105" s="1">
        <v>0</v>
      </c>
      <c r="Q105" s="246"/>
      <c r="R105" s="1">
        <v>24.53</v>
      </c>
      <c r="S105" s="1">
        <v>24.53</v>
      </c>
      <c r="T105" s="1">
        <v>0</v>
      </c>
      <c r="V105" s="4">
        <f t="shared" si="3"/>
        <v>2980.9210361616551</v>
      </c>
      <c r="W105" s="4">
        <f t="shared" si="3"/>
        <v>2881.1010361616554</v>
      </c>
      <c r="X105" s="4">
        <f t="shared" si="3"/>
        <v>99.82</v>
      </c>
      <c r="Z105" s="172">
        <f t="shared" si="4"/>
        <v>2007.4610361616551</v>
      </c>
      <c r="AB105" s="247"/>
      <c r="AC105" s="247"/>
      <c r="AD105" s="247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</row>
    <row r="106" spans="1:49" x14ac:dyDescent="0.2">
      <c r="A106" s="8">
        <v>17040</v>
      </c>
      <c r="B106" s="8" t="s">
        <v>158</v>
      </c>
      <c r="C106" s="8" t="s">
        <v>74</v>
      </c>
      <c r="D106" s="29" t="s">
        <v>1</v>
      </c>
      <c r="E106" s="19"/>
      <c r="F106" s="1">
        <v>1358.71</v>
      </c>
      <c r="G106" s="1">
        <f>F106-H106</f>
        <v>1302.19</v>
      </c>
      <c r="H106" s="1">
        <v>56.52</v>
      </c>
      <c r="I106" s="246"/>
      <c r="J106" s="1">
        <v>515.5353039774642</v>
      </c>
      <c r="K106" s="1">
        <v>515.5353039774642</v>
      </c>
      <c r="L106" s="1"/>
      <c r="M106" s="246"/>
      <c r="N106" s="1">
        <v>1247.3800000000001</v>
      </c>
      <c r="O106" s="1">
        <v>1247.3800000000001</v>
      </c>
      <c r="P106" s="1">
        <v>0</v>
      </c>
      <c r="Q106" s="246"/>
      <c r="R106" s="1">
        <v>0</v>
      </c>
      <c r="S106" s="1">
        <v>0</v>
      </c>
      <c r="T106" s="1">
        <v>0</v>
      </c>
      <c r="V106" s="4">
        <f t="shared" si="3"/>
        <v>3121.6253039774642</v>
      </c>
      <c r="W106" s="4">
        <f t="shared" si="3"/>
        <v>3065.1053039774642</v>
      </c>
      <c r="X106" s="4">
        <f t="shared" si="3"/>
        <v>56.52</v>
      </c>
      <c r="Z106" s="172">
        <f t="shared" si="4"/>
        <v>1874.2453039774641</v>
      </c>
      <c r="AB106" s="247"/>
      <c r="AC106" s="247"/>
      <c r="AD106" s="247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</row>
    <row r="107" spans="1:49" x14ac:dyDescent="0.2">
      <c r="A107" s="8">
        <v>17080</v>
      </c>
      <c r="B107" s="8" t="s">
        <v>159</v>
      </c>
      <c r="C107" s="8" t="s">
        <v>74</v>
      </c>
      <c r="D107" s="29" t="s">
        <v>1</v>
      </c>
      <c r="E107" s="19"/>
      <c r="F107" s="1">
        <v>5294</v>
      </c>
      <c r="G107" s="1">
        <v>3577</v>
      </c>
      <c r="H107" s="1">
        <v>1717</v>
      </c>
      <c r="I107" s="246"/>
      <c r="J107" s="1">
        <v>488.16512561189438</v>
      </c>
      <c r="K107" s="1">
        <v>488.16512561189438</v>
      </c>
      <c r="L107" s="1"/>
      <c r="M107" s="246"/>
      <c r="N107" s="1">
        <v>1190</v>
      </c>
      <c r="O107" s="1">
        <v>1190</v>
      </c>
      <c r="P107" s="1">
        <v>0</v>
      </c>
      <c r="Q107" s="246"/>
      <c r="R107" s="1">
        <v>0</v>
      </c>
      <c r="S107" s="1">
        <v>0</v>
      </c>
      <c r="T107" s="1">
        <v>0</v>
      </c>
      <c r="V107" s="4">
        <f t="shared" si="3"/>
        <v>6972.1651256118948</v>
      </c>
      <c r="W107" s="4">
        <f t="shared" si="3"/>
        <v>5255.1651256118948</v>
      </c>
      <c r="X107" s="4">
        <f t="shared" si="3"/>
        <v>1717</v>
      </c>
      <c r="Z107" s="172">
        <f t="shared" si="4"/>
        <v>5782.1651256118948</v>
      </c>
      <c r="AB107" s="247">
        <v>0</v>
      </c>
      <c r="AC107" s="247">
        <v>0</v>
      </c>
      <c r="AD107" s="247">
        <v>0</v>
      </c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</row>
    <row r="108" spans="1:49" x14ac:dyDescent="0.2">
      <c r="A108" s="8">
        <v>17100</v>
      </c>
      <c r="B108" s="8" t="s">
        <v>160</v>
      </c>
      <c r="C108" s="8"/>
      <c r="D108" s="29" t="s">
        <v>3</v>
      </c>
      <c r="E108" s="19"/>
      <c r="F108" s="1">
        <v>2163.6999999999998</v>
      </c>
      <c r="G108" s="1">
        <v>1969.6999999999998</v>
      </c>
      <c r="H108" s="1">
        <v>194</v>
      </c>
      <c r="I108" s="246"/>
      <c r="J108" s="1">
        <v>587.54712175459485</v>
      </c>
      <c r="K108" s="1">
        <v>587.54712175459485</v>
      </c>
      <c r="L108" s="1"/>
      <c r="M108" s="246"/>
      <c r="N108" s="1">
        <v>1.26</v>
      </c>
      <c r="O108" s="1">
        <v>1.26</v>
      </c>
      <c r="P108" s="1">
        <v>0</v>
      </c>
      <c r="Q108" s="246"/>
      <c r="R108" s="1">
        <v>96.6</v>
      </c>
      <c r="S108" s="1">
        <v>96.6</v>
      </c>
      <c r="T108" s="1">
        <v>0</v>
      </c>
      <c r="V108" s="4">
        <f t="shared" si="3"/>
        <v>2849.107121754595</v>
      </c>
      <c r="W108" s="4">
        <f t="shared" si="3"/>
        <v>2655.107121754595</v>
      </c>
      <c r="X108" s="4">
        <f t="shared" si="3"/>
        <v>194</v>
      </c>
      <c r="Z108" s="172">
        <f t="shared" si="4"/>
        <v>2751.2471217545944</v>
      </c>
      <c r="AB108" s="247">
        <v>0</v>
      </c>
      <c r="AC108" s="247">
        <v>0</v>
      </c>
      <c r="AD108" s="247">
        <v>0</v>
      </c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</row>
    <row r="109" spans="1:49" x14ac:dyDescent="0.2">
      <c r="A109" s="8">
        <v>17150</v>
      </c>
      <c r="B109" s="8" t="s">
        <v>161</v>
      </c>
      <c r="C109" s="8" t="s">
        <v>18</v>
      </c>
      <c r="D109" s="29" t="s">
        <v>3</v>
      </c>
      <c r="E109" s="19"/>
      <c r="F109" s="1">
        <v>19800</v>
      </c>
      <c r="G109" s="1">
        <f>F109-H109</f>
        <v>17717.04</v>
      </c>
      <c r="H109" s="1">
        <v>2082.96</v>
      </c>
      <c r="I109" s="246"/>
      <c r="J109" s="1">
        <v>2816.6371636187118</v>
      </c>
      <c r="K109" s="1">
        <v>2816.6371636187118</v>
      </c>
      <c r="L109" s="1"/>
      <c r="M109" s="246"/>
      <c r="N109" s="1">
        <v>0</v>
      </c>
      <c r="O109" s="1">
        <v>0</v>
      </c>
      <c r="P109" s="1">
        <v>0</v>
      </c>
      <c r="Q109" s="246"/>
      <c r="R109" s="1">
        <v>1299</v>
      </c>
      <c r="S109" s="1">
        <v>1299</v>
      </c>
      <c r="T109" s="1">
        <v>0</v>
      </c>
      <c r="V109" s="4">
        <f t="shared" si="3"/>
        <v>23915.63716361871</v>
      </c>
      <c r="W109" s="4">
        <f t="shared" si="3"/>
        <v>21832.677163618711</v>
      </c>
      <c r="X109" s="4">
        <f t="shared" si="3"/>
        <v>2082.96</v>
      </c>
      <c r="Z109" s="172">
        <f t="shared" si="4"/>
        <v>22616.63716361871</v>
      </c>
      <c r="AB109" s="247">
        <v>0</v>
      </c>
      <c r="AC109" s="247">
        <v>0</v>
      </c>
      <c r="AD109" s="247">
        <v>0</v>
      </c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</row>
    <row r="110" spans="1:49" x14ac:dyDescent="0.2">
      <c r="A110" s="8">
        <v>17200</v>
      </c>
      <c r="B110" s="8" t="s">
        <v>68</v>
      </c>
      <c r="C110" s="8" t="s">
        <v>18</v>
      </c>
      <c r="D110" s="29" t="s">
        <v>3</v>
      </c>
      <c r="E110" s="19"/>
      <c r="F110" s="1">
        <v>14210</v>
      </c>
      <c r="G110" s="1">
        <v>13068</v>
      </c>
      <c r="H110" s="1">
        <v>1142</v>
      </c>
      <c r="I110" s="246"/>
      <c r="J110" s="1">
        <v>1012.8653883438049</v>
      </c>
      <c r="K110" s="1">
        <v>1012.8653883438049</v>
      </c>
      <c r="L110" s="1"/>
      <c r="M110" s="246"/>
      <c r="N110" s="1">
        <v>56.8</v>
      </c>
      <c r="O110" s="1">
        <v>56.8</v>
      </c>
      <c r="P110" s="1">
        <v>0</v>
      </c>
      <c r="Q110" s="246"/>
      <c r="R110" s="1">
        <v>2288</v>
      </c>
      <c r="S110" s="1">
        <v>1997.47</v>
      </c>
      <c r="T110" s="1">
        <v>290.52999999999997</v>
      </c>
      <c r="V110" s="4">
        <f t="shared" si="3"/>
        <v>17567.665388343805</v>
      </c>
      <c r="W110" s="4">
        <f t="shared" si="3"/>
        <v>16135.135388343804</v>
      </c>
      <c r="X110" s="4">
        <f t="shared" si="3"/>
        <v>1432.53</v>
      </c>
      <c r="Z110" s="172">
        <f t="shared" si="4"/>
        <v>15222.865388343806</v>
      </c>
      <c r="AB110" s="247">
        <v>0</v>
      </c>
      <c r="AC110" s="247">
        <v>0</v>
      </c>
      <c r="AD110" s="247">
        <v>0</v>
      </c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</row>
    <row r="111" spans="1:49" x14ac:dyDescent="0.2">
      <c r="A111" s="8">
        <v>17310</v>
      </c>
      <c r="B111" s="8" t="s">
        <v>162</v>
      </c>
      <c r="C111" s="8" t="s">
        <v>17</v>
      </c>
      <c r="D111" s="29" t="s">
        <v>1</v>
      </c>
      <c r="E111" s="19"/>
      <c r="F111" s="1">
        <v>3658.9</v>
      </c>
      <c r="G111" s="1">
        <v>3262.2000000000003</v>
      </c>
      <c r="H111" s="1">
        <v>396.7</v>
      </c>
      <c r="I111" s="246"/>
      <c r="J111" s="1">
        <v>1577.286400876945</v>
      </c>
      <c r="K111" s="1">
        <v>1577.286400876945</v>
      </c>
      <c r="L111" s="1"/>
      <c r="M111" s="246"/>
      <c r="N111" s="1">
        <v>3611.79</v>
      </c>
      <c r="O111" s="1">
        <v>3611.79</v>
      </c>
      <c r="P111" s="1">
        <v>0</v>
      </c>
      <c r="Q111" s="246"/>
      <c r="R111" s="1">
        <v>216</v>
      </c>
      <c r="S111" s="1">
        <v>216</v>
      </c>
      <c r="T111" s="1">
        <v>0</v>
      </c>
      <c r="V111" s="4">
        <f t="shared" si="3"/>
        <v>9063.9764008769453</v>
      </c>
      <c r="W111" s="4">
        <f t="shared" si="3"/>
        <v>8667.2764008769445</v>
      </c>
      <c r="X111" s="4">
        <f t="shared" si="3"/>
        <v>396.7</v>
      </c>
      <c r="Z111" s="172">
        <f t="shared" si="4"/>
        <v>5236.1864008769453</v>
      </c>
      <c r="AB111" s="247">
        <v>0</v>
      </c>
      <c r="AC111" s="247">
        <v>0</v>
      </c>
      <c r="AD111" s="247">
        <v>0</v>
      </c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</row>
    <row r="112" spans="1:49" x14ac:dyDescent="0.2">
      <c r="A112" s="8">
        <v>17350</v>
      </c>
      <c r="B112" s="8" t="s">
        <v>163</v>
      </c>
      <c r="C112" s="8" t="s">
        <v>22</v>
      </c>
      <c r="D112" s="29" t="s">
        <v>1</v>
      </c>
      <c r="E112" s="19"/>
      <c r="F112" s="1">
        <v>0</v>
      </c>
      <c r="G112" s="1">
        <v>0</v>
      </c>
      <c r="H112" s="1">
        <v>0</v>
      </c>
      <c r="I112" s="246"/>
      <c r="J112" s="1">
        <v>209.20192934761312</v>
      </c>
      <c r="K112" s="1">
        <v>209.20192934761312</v>
      </c>
      <c r="L112" s="1"/>
      <c r="M112" s="246"/>
      <c r="N112" s="1">
        <v>461</v>
      </c>
      <c r="O112" s="1">
        <v>395</v>
      </c>
      <c r="P112" s="1">
        <v>66</v>
      </c>
      <c r="Q112" s="246"/>
      <c r="R112" s="1">
        <v>0</v>
      </c>
      <c r="S112" s="1">
        <v>0</v>
      </c>
      <c r="T112" s="1">
        <v>0</v>
      </c>
      <c r="V112" s="4">
        <f t="shared" si="3"/>
        <v>670.20192934761315</v>
      </c>
      <c r="W112" s="4">
        <f t="shared" si="3"/>
        <v>604.20192934761315</v>
      </c>
      <c r="X112" s="4">
        <f t="shared" si="3"/>
        <v>66</v>
      </c>
      <c r="Z112" s="172">
        <f t="shared" si="4"/>
        <v>209.20192934761312</v>
      </c>
      <c r="AB112" s="247"/>
      <c r="AC112" s="247"/>
      <c r="AD112" s="247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</row>
    <row r="113" spans="1:49" x14ac:dyDescent="0.2">
      <c r="A113" s="8">
        <v>17400</v>
      </c>
      <c r="B113" s="8" t="s">
        <v>164</v>
      </c>
      <c r="C113" s="8" t="s">
        <v>17</v>
      </c>
      <c r="D113" s="29" t="s">
        <v>1</v>
      </c>
      <c r="E113" s="19"/>
      <c r="F113" s="1">
        <v>378</v>
      </c>
      <c r="G113" s="1">
        <f>F113-H113</f>
        <v>362.28</v>
      </c>
      <c r="H113" s="1">
        <v>15.72</v>
      </c>
      <c r="I113" s="246"/>
      <c r="J113" s="1">
        <v>176.93426321949954</v>
      </c>
      <c r="K113" s="1">
        <v>176.93426321949954</v>
      </c>
      <c r="L113" s="1"/>
      <c r="M113" s="246"/>
      <c r="N113" s="1">
        <v>555.54999999999995</v>
      </c>
      <c r="O113" s="1">
        <v>555.54999999999995</v>
      </c>
      <c r="P113" s="1">
        <v>0</v>
      </c>
      <c r="Q113" s="246"/>
      <c r="R113" s="1">
        <v>0</v>
      </c>
      <c r="S113" s="1">
        <v>0</v>
      </c>
      <c r="T113" s="1">
        <v>0</v>
      </c>
      <c r="V113" s="4">
        <f t="shared" si="3"/>
        <v>1110.4842632194996</v>
      </c>
      <c r="W113" s="4">
        <f t="shared" si="3"/>
        <v>1094.7642632194995</v>
      </c>
      <c r="X113" s="4">
        <f t="shared" si="3"/>
        <v>15.72</v>
      </c>
      <c r="Z113" s="172">
        <f t="shared" si="4"/>
        <v>554.9342632194996</v>
      </c>
      <c r="AB113" s="247">
        <v>0</v>
      </c>
      <c r="AC113" s="247">
        <v>0</v>
      </c>
      <c r="AD113" s="247">
        <v>0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</row>
    <row r="114" spans="1:49" x14ac:dyDescent="0.2">
      <c r="A114" s="8">
        <v>17420</v>
      </c>
      <c r="B114" s="8" t="s">
        <v>165</v>
      </c>
      <c r="C114" s="8" t="s">
        <v>19</v>
      </c>
      <c r="D114" s="29" t="s">
        <v>3</v>
      </c>
      <c r="E114" s="19"/>
      <c r="F114" s="1">
        <v>12366</v>
      </c>
      <c r="G114" s="1">
        <v>11364.35</v>
      </c>
      <c r="H114" s="1">
        <v>1001.65</v>
      </c>
      <c r="I114" s="246"/>
      <c r="J114" s="1">
        <v>1111.0811973447214</v>
      </c>
      <c r="K114" s="1">
        <v>1111.0811973447214</v>
      </c>
      <c r="L114" s="1"/>
      <c r="M114" s="246"/>
      <c r="N114" s="1">
        <v>31.37</v>
      </c>
      <c r="O114" s="1">
        <v>31.37</v>
      </c>
      <c r="P114" s="1">
        <v>0</v>
      </c>
      <c r="Q114" s="246"/>
      <c r="R114" s="1">
        <v>1707.4099999999999</v>
      </c>
      <c r="S114" s="1">
        <v>1707.4099999999999</v>
      </c>
      <c r="T114" s="1">
        <v>0</v>
      </c>
      <c r="V114" s="4">
        <f t="shared" si="3"/>
        <v>15215.861197344722</v>
      </c>
      <c r="W114" s="4">
        <f t="shared" si="3"/>
        <v>14214.211197344723</v>
      </c>
      <c r="X114" s="4">
        <f t="shared" si="3"/>
        <v>1001.65</v>
      </c>
      <c r="Z114" s="172">
        <f t="shared" si="4"/>
        <v>13477.081197344722</v>
      </c>
      <c r="AB114" s="247">
        <v>0</v>
      </c>
      <c r="AC114" s="247">
        <v>0</v>
      </c>
      <c r="AD114" s="247">
        <v>0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</row>
    <row r="115" spans="1:49" x14ac:dyDescent="0.2">
      <c r="A115" s="8">
        <v>17550</v>
      </c>
      <c r="B115" s="8" t="s">
        <v>166</v>
      </c>
      <c r="C115" s="8" t="s">
        <v>20</v>
      </c>
      <c r="D115" s="29" t="s">
        <v>4</v>
      </c>
      <c r="E115" s="19"/>
      <c r="F115" s="1">
        <v>8388</v>
      </c>
      <c r="G115" s="1">
        <v>7466</v>
      </c>
      <c r="H115" s="1">
        <v>922</v>
      </c>
      <c r="I115" s="246"/>
      <c r="J115" s="1">
        <v>2505.6284273592178</v>
      </c>
      <c r="K115" s="1">
        <v>2505.6284273592178</v>
      </c>
      <c r="L115" s="1"/>
      <c r="M115" s="246"/>
      <c r="N115" s="1">
        <v>1222.8200000000002</v>
      </c>
      <c r="O115" s="1">
        <v>1222.8200000000002</v>
      </c>
      <c r="P115" s="1">
        <v>0</v>
      </c>
      <c r="Q115" s="246"/>
      <c r="R115" s="1">
        <v>55</v>
      </c>
      <c r="S115" s="1">
        <v>55</v>
      </c>
      <c r="T115" s="1">
        <v>0</v>
      </c>
      <c r="V115" s="4">
        <f t="shared" si="3"/>
        <v>12171.448427359217</v>
      </c>
      <c r="W115" s="4">
        <f t="shared" si="3"/>
        <v>11249.448427359217</v>
      </c>
      <c r="X115" s="4">
        <f t="shared" si="3"/>
        <v>922</v>
      </c>
      <c r="Z115" s="172">
        <f t="shared" si="4"/>
        <v>10893.628427359217</v>
      </c>
      <c r="AB115" s="247"/>
      <c r="AC115" s="247"/>
      <c r="AD115" s="247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</row>
    <row r="116" spans="1:49" x14ac:dyDescent="0.2">
      <c r="A116" s="8">
        <v>17620</v>
      </c>
      <c r="B116" s="8" t="s">
        <v>167</v>
      </c>
      <c r="C116" s="8" t="s">
        <v>25</v>
      </c>
      <c r="D116" s="29" t="s">
        <v>4</v>
      </c>
      <c r="E116" s="19"/>
      <c r="F116" s="1">
        <v>784.03</v>
      </c>
      <c r="G116" s="1">
        <f>F116-H116</f>
        <v>751.41</v>
      </c>
      <c r="H116" s="1">
        <v>32.619999999999997</v>
      </c>
      <c r="I116" s="246"/>
      <c r="J116" s="1">
        <v>330.38051098368368</v>
      </c>
      <c r="K116" s="1">
        <v>330.38051098368368</v>
      </c>
      <c r="L116" s="1"/>
      <c r="M116" s="246"/>
      <c r="N116" s="1">
        <v>0</v>
      </c>
      <c r="O116" s="1">
        <v>0</v>
      </c>
      <c r="P116" s="1">
        <v>0</v>
      </c>
      <c r="Q116" s="246"/>
      <c r="R116" s="1">
        <v>0</v>
      </c>
      <c r="S116" s="1">
        <v>0</v>
      </c>
      <c r="T116" s="1">
        <v>0</v>
      </c>
      <c r="V116" s="4">
        <f t="shared" si="3"/>
        <v>1114.4105109836837</v>
      </c>
      <c r="W116" s="4">
        <f t="shared" si="3"/>
        <v>1081.7905109836836</v>
      </c>
      <c r="X116" s="4">
        <f t="shared" si="3"/>
        <v>32.619999999999997</v>
      </c>
      <c r="Z116" s="172">
        <f t="shared" si="4"/>
        <v>1114.4105109836837</v>
      </c>
      <c r="AB116" s="247">
        <v>0</v>
      </c>
      <c r="AC116" s="247">
        <v>0</v>
      </c>
      <c r="AD116" s="247">
        <v>0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</row>
    <row r="117" spans="1:49" x14ac:dyDescent="0.2">
      <c r="A117" s="8">
        <v>17640</v>
      </c>
      <c r="B117" s="8" t="s">
        <v>168</v>
      </c>
      <c r="C117" s="8" t="s">
        <v>74</v>
      </c>
      <c r="D117" s="29" t="s">
        <v>1</v>
      </c>
      <c r="E117" s="19"/>
      <c r="F117" s="1">
        <v>422</v>
      </c>
      <c r="G117" s="1">
        <f>F117-H117</f>
        <v>404.44</v>
      </c>
      <c r="H117" s="1">
        <v>17.559999999999999</v>
      </c>
      <c r="I117" s="246"/>
      <c r="J117" s="1">
        <v>107.76334709094708</v>
      </c>
      <c r="K117" s="1">
        <v>107.76334709094708</v>
      </c>
      <c r="L117" s="1"/>
      <c r="M117" s="246"/>
      <c r="N117" s="1">
        <v>0</v>
      </c>
      <c r="O117" s="1">
        <v>0</v>
      </c>
      <c r="P117" s="1">
        <v>0</v>
      </c>
      <c r="Q117" s="246"/>
      <c r="R117" s="1">
        <v>0</v>
      </c>
      <c r="S117" s="1">
        <v>0</v>
      </c>
      <c r="T117" s="1">
        <v>0</v>
      </c>
      <c r="V117" s="4">
        <f t="shared" si="3"/>
        <v>529.76334709094704</v>
      </c>
      <c r="W117" s="4">
        <f t="shared" si="3"/>
        <v>512.20334709094709</v>
      </c>
      <c r="X117" s="4">
        <f t="shared" si="3"/>
        <v>17.559999999999999</v>
      </c>
      <c r="Z117" s="172">
        <f t="shared" si="4"/>
        <v>529.76334709094704</v>
      </c>
      <c r="AB117" s="247"/>
      <c r="AC117" s="247"/>
      <c r="AD117" s="247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</row>
    <row r="118" spans="1:49" x14ac:dyDescent="0.2">
      <c r="A118" s="8">
        <v>17650</v>
      </c>
      <c r="B118" s="8" t="s">
        <v>169</v>
      </c>
      <c r="C118" s="8" t="s">
        <v>17</v>
      </c>
      <c r="D118" s="29" t="s">
        <v>1</v>
      </c>
      <c r="E118" s="19"/>
      <c r="F118" s="1">
        <v>737.89</v>
      </c>
      <c r="G118" s="1">
        <v>641.89</v>
      </c>
      <c r="H118" s="1">
        <v>96</v>
      </c>
      <c r="I118" s="246"/>
      <c r="J118" s="1">
        <v>7.4869813570898893</v>
      </c>
      <c r="K118" s="1">
        <v>7.4869813570898893</v>
      </c>
      <c r="L118" s="1"/>
      <c r="M118" s="246"/>
      <c r="N118" s="1">
        <v>2333.2600000000002</v>
      </c>
      <c r="O118" s="1">
        <v>2329.3400000000006</v>
      </c>
      <c r="P118" s="1">
        <v>3.92</v>
      </c>
      <c r="Q118" s="246"/>
      <c r="R118" s="1">
        <v>0</v>
      </c>
      <c r="S118" s="1">
        <v>0</v>
      </c>
      <c r="T118" s="1">
        <v>0</v>
      </c>
      <c r="V118" s="4">
        <f t="shared" si="3"/>
        <v>3078.63698135709</v>
      </c>
      <c r="W118" s="4">
        <f t="shared" si="3"/>
        <v>2978.7169813570904</v>
      </c>
      <c r="X118" s="4">
        <f t="shared" si="3"/>
        <v>99.92</v>
      </c>
      <c r="Z118" s="172">
        <f t="shared" si="4"/>
        <v>745.3769813570899</v>
      </c>
      <c r="AB118" s="247"/>
      <c r="AC118" s="247"/>
      <c r="AD118" s="247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</row>
    <row r="119" spans="1:49" x14ac:dyDescent="0.2">
      <c r="A119" s="8">
        <v>17750</v>
      </c>
      <c r="B119" s="8" t="s">
        <v>170</v>
      </c>
      <c r="C119" s="8" t="s">
        <v>22</v>
      </c>
      <c r="D119" s="29" t="s">
        <v>1</v>
      </c>
      <c r="E119" s="19"/>
      <c r="F119" s="1">
        <v>5159</v>
      </c>
      <c r="G119" s="1">
        <v>4488</v>
      </c>
      <c r="H119" s="1">
        <v>671</v>
      </c>
      <c r="I119" s="246"/>
      <c r="J119" s="1">
        <v>1691.309538855847</v>
      </c>
      <c r="K119" s="1">
        <v>1691.309538855847</v>
      </c>
      <c r="L119" s="1"/>
      <c r="M119" s="246"/>
      <c r="N119" s="1">
        <v>2111</v>
      </c>
      <c r="O119" s="1">
        <v>595</v>
      </c>
      <c r="P119" s="1">
        <v>1516</v>
      </c>
      <c r="Q119" s="246"/>
      <c r="R119" s="1">
        <v>0</v>
      </c>
      <c r="S119" s="1">
        <v>0</v>
      </c>
      <c r="T119" s="1">
        <v>0</v>
      </c>
      <c r="V119" s="4">
        <f t="shared" si="3"/>
        <v>8961.3095388558468</v>
      </c>
      <c r="W119" s="4">
        <f t="shared" si="3"/>
        <v>6774.3095388558468</v>
      </c>
      <c r="X119" s="4">
        <f t="shared" si="3"/>
        <v>2187</v>
      </c>
      <c r="Z119" s="172">
        <f t="shared" si="4"/>
        <v>6850.3095388558468</v>
      </c>
      <c r="AB119" s="247">
        <v>0</v>
      </c>
      <c r="AC119" s="247">
        <v>0</v>
      </c>
      <c r="AD119" s="247">
        <v>0</v>
      </c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</row>
    <row r="120" spans="1:49" x14ac:dyDescent="0.2">
      <c r="A120" s="8">
        <v>17850</v>
      </c>
      <c r="B120" s="8" t="s">
        <v>171</v>
      </c>
      <c r="C120" s="8" t="s">
        <v>17</v>
      </c>
      <c r="D120" s="29" t="s">
        <v>1</v>
      </c>
      <c r="E120" s="19"/>
      <c r="F120" s="1">
        <v>179.93</v>
      </c>
      <c r="G120" s="1">
        <f>F120-H120</f>
        <v>172.44</v>
      </c>
      <c r="H120" s="1">
        <v>7.49</v>
      </c>
      <c r="I120" s="246"/>
      <c r="J120" s="1">
        <v>27.274953010667392</v>
      </c>
      <c r="K120" s="1">
        <v>27.274953010667392</v>
      </c>
      <c r="L120" s="1"/>
      <c r="M120" s="246"/>
      <c r="N120" s="1">
        <v>0</v>
      </c>
      <c r="O120" s="1">
        <v>0</v>
      </c>
      <c r="P120" s="1">
        <v>0</v>
      </c>
      <c r="Q120" s="246"/>
      <c r="R120" s="1">
        <v>0</v>
      </c>
      <c r="S120" s="1">
        <v>0</v>
      </c>
      <c r="T120" s="1">
        <v>0</v>
      </c>
      <c r="V120" s="4">
        <f t="shared" si="3"/>
        <v>207.2049530106674</v>
      </c>
      <c r="W120" s="4">
        <f t="shared" si="3"/>
        <v>199.71495301066739</v>
      </c>
      <c r="X120" s="4">
        <f t="shared" si="3"/>
        <v>7.49</v>
      </c>
      <c r="Z120" s="172">
        <f t="shared" si="4"/>
        <v>207.2049530106674</v>
      </c>
      <c r="AB120" s="247"/>
      <c r="AC120" s="247"/>
      <c r="AD120" s="247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</row>
    <row r="121" spans="1:49" x14ac:dyDescent="0.2">
      <c r="A121" s="8">
        <v>17900</v>
      </c>
      <c r="B121" s="8" t="s">
        <v>172</v>
      </c>
      <c r="C121" s="8" t="s">
        <v>42</v>
      </c>
      <c r="D121" s="29" t="s">
        <v>1</v>
      </c>
      <c r="E121" s="19"/>
      <c r="F121" s="1">
        <v>0</v>
      </c>
      <c r="G121" s="1">
        <v>0</v>
      </c>
      <c r="H121" s="1">
        <v>0</v>
      </c>
      <c r="I121" s="246"/>
      <c r="J121" s="1">
        <v>52.514154441791995</v>
      </c>
      <c r="K121" s="1">
        <v>52.514154441791995</v>
      </c>
      <c r="L121" s="1"/>
      <c r="M121" s="246"/>
      <c r="N121" s="1">
        <v>0</v>
      </c>
      <c r="O121" s="1">
        <v>0</v>
      </c>
      <c r="P121" s="1">
        <v>0</v>
      </c>
      <c r="Q121" s="246"/>
      <c r="R121" s="1">
        <v>0</v>
      </c>
      <c r="S121" s="1">
        <v>0</v>
      </c>
      <c r="T121" s="1">
        <v>0</v>
      </c>
      <c r="V121" s="4">
        <f t="shared" si="3"/>
        <v>52.514154441791995</v>
      </c>
      <c r="W121" s="4">
        <f t="shared" si="3"/>
        <v>52.514154441791995</v>
      </c>
      <c r="X121" s="4">
        <f t="shared" si="3"/>
        <v>0</v>
      </c>
      <c r="Z121" s="172">
        <f t="shared" si="4"/>
        <v>52.514154441791995</v>
      </c>
      <c r="AB121" s="247"/>
      <c r="AC121" s="247"/>
      <c r="AD121" s="247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</row>
    <row r="122" spans="1:49" x14ac:dyDescent="0.2">
      <c r="A122" s="8">
        <v>17950</v>
      </c>
      <c r="B122" s="8" t="s">
        <v>173</v>
      </c>
      <c r="C122" s="8" t="s">
        <v>42</v>
      </c>
      <c r="D122" s="29" t="s">
        <v>1</v>
      </c>
      <c r="E122" s="19"/>
      <c r="F122" s="1">
        <v>0</v>
      </c>
      <c r="G122" s="1">
        <v>0</v>
      </c>
      <c r="H122" s="1">
        <v>0</v>
      </c>
      <c r="I122" s="246"/>
      <c r="J122" s="1">
        <v>22.653268148667756</v>
      </c>
      <c r="K122" s="1">
        <v>22.653268148667756</v>
      </c>
      <c r="L122" s="1"/>
      <c r="M122" s="246"/>
      <c r="N122" s="1">
        <v>10</v>
      </c>
      <c r="O122" s="1">
        <v>0</v>
      </c>
      <c r="P122" s="1">
        <v>10</v>
      </c>
      <c r="Q122" s="246"/>
      <c r="R122" s="1">
        <v>0</v>
      </c>
      <c r="S122" s="1">
        <v>0</v>
      </c>
      <c r="T122" s="1">
        <v>0</v>
      </c>
      <c r="V122" s="4">
        <f t="shared" si="3"/>
        <v>32.653268148667756</v>
      </c>
      <c r="W122" s="4">
        <f t="shared" si="3"/>
        <v>22.653268148667756</v>
      </c>
      <c r="X122" s="4">
        <f t="shared" si="3"/>
        <v>10</v>
      </c>
      <c r="Z122" s="172">
        <f t="shared" si="4"/>
        <v>22.653268148667756</v>
      </c>
      <c r="AB122" s="247">
        <v>0</v>
      </c>
      <c r="AC122" s="247">
        <v>0</v>
      </c>
      <c r="AD122" s="247">
        <v>0</v>
      </c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</row>
    <row r="123" spans="1:49" x14ac:dyDescent="0.2">
      <c r="A123" s="8">
        <v>18020</v>
      </c>
      <c r="B123" s="8" t="s">
        <v>174</v>
      </c>
      <c r="C123" s="8" t="s">
        <v>42</v>
      </c>
      <c r="D123" s="29" t="s">
        <v>1</v>
      </c>
      <c r="E123" s="19"/>
      <c r="F123" s="1">
        <v>372</v>
      </c>
      <c r="G123" s="1">
        <v>287.36</v>
      </c>
      <c r="H123" s="1">
        <v>84.64</v>
      </c>
      <c r="I123" s="246"/>
      <c r="J123" s="1">
        <v>202.01355022052275</v>
      </c>
      <c r="K123" s="1">
        <v>202.01355022052275</v>
      </c>
      <c r="L123" s="1"/>
      <c r="M123" s="246"/>
      <c r="N123" s="1">
        <v>180</v>
      </c>
      <c r="O123" s="1">
        <v>180</v>
      </c>
      <c r="P123" s="1">
        <v>0</v>
      </c>
      <c r="Q123" s="246"/>
      <c r="R123" s="1">
        <v>0</v>
      </c>
      <c r="S123" s="1">
        <v>0</v>
      </c>
      <c r="T123" s="1">
        <v>0</v>
      </c>
      <c r="V123" s="4">
        <f t="shared" si="3"/>
        <v>754.0135502205228</v>
      </c>
      <c r="W123" s="4">
        <f t="shared" si="3"/>
        <v>669.3735502205227</v>
      </c>
      <c r="X123" s="4">
        <f t="shared" si="3"/>
        <v>84.64</v>
      </c>
      <c r="Z123" s="172">
        <f t="shared" si="4"/>
        <v>574.0135502205228</v>
      </c>
      <c r="AB123" s="247"/>
      <c r="AC123" s="247"/>
      <c r="AD123" s="247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</row>
    <row r="124" spans="1:49" x14ac:dyDescent="0.2">
      <c r="A124" s="8">
        <v>18050</v>
      </c>
      <c r="B124" s="8" t="s">
        <v>69</v>
      </c>
      <c r="C124" s="8" t="s">
        <v>18</v>
      </c>
      <c r="D124" s="29" t="s">
        <v>3</v>
      </c>
      <c r="E124" s="19"/>
      <c r="F124" s="1">
        <v>5530</v>
      </c>
      <c r="G124" s="1">
        <v>4972</v>
      </c>
      <c r="H124" s="1">
        <v>558</v>
      </c>
      <c r="I124" s="246"/>
      <c r="J124" s="1">
        <v>333.11347944224639</v>
      </c>
      <c r="K124" s="1">
        <v>333.11347944224639</v>
      </c>
      <c r="L124" s="1"/>
      <c r="M124" s="246"/>
      <c r="N124" s="1">
        <v>10.91</v>
      </c>
      <c r="O124" s="1">
        <v>10.91</v>
      </c>
      <c r="P124" s="1">
        <v>0</v>
      </c>
      <c r="Q124" s="246"/>
      <c r="R124" s="1">
        <v>180</v>
      </c>
      <c r="S124" s="1">
        <v>180</v>
      </c>
      <c r="T124" s="1">
        <v>0</v>
      </c>
      <c r="V124" s="4">
        <f t="shared" si="3"/>
        <v>6054.0234794422458</v>
      </c>
      <c r="W124" s="4">
        <f t="shared" si="3"/>
        <v>5496.0234794422458</v>
      </c>
      <c r="X124" s="4">
        <f t="shared" si="3"/>
        <v>558</v>
      </c>
      <c r="Z124" s="172">
        <f t="shared" si="4"/>
        <v>5863.113479442246</v>
      </c>
      <c r="AB124" s="247">
        <v>0</v>
      </c>
      <c r="AC124" s="247">
        <v>0</v>
      </c>
      <c r="AD124" s="247">
        <v>0</v>
      </c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</row>
    <row r="125" spans="1:49" x14ac:dyDescent="0.2">
      <c r="A125" s="8">
        <v>18100</v>
      </c>
      <c r="B125" s="8" t="s">
        <v>175</v>
      </c>
      <c r="C125" s="8" t="s">
        <v>42</v>
      </c>
      <c r="D125" s="29" t="s">
        <v>1</v>
      </c>
      <c r="E125" s="19"/>
      <c r="F125" s="1">
        <v>95.26</v>
      </c>
      <c r="G125" s="1">
        <f>F125-H125</f>
        <v>91.300000000000011</v>
      </c>
      <c r="H125" s="1">
        <v>3.96</v>
      </c>
      <c r="I125" s="246"/>
      <c r="J125" s="1">
        <v>55.954855537431278</v>
      </c>
      <c r="K125" s="1">
        <v>55.954855537431278</v>
      </c>
      <c r="L125" s="1"/>
      <c r="M125" s="246"/>
      <c r="N125" s="1">
        <v>50.79</v>
      </c>
      <c r="O125" s="1">
        <v>41.38</v>
      </c>
      <c r="P125" s="1">
        <v>9.41</v>
      </c>
      <c r="Q125" s="246"/>
      <c r="R125" s="1">
        <v>0</v>
      </c>
      <c r="S125" s="1">
        <v>0</v>
      </c>
      <c r="T125" s="1">
        <v>0</v>
      </c>
      <c r="V125" s="4">
        <f t="shared" si="3"/>
        <v>202.0048555374313</v>
      </c>
      <c r="W125" s="4">
        <f t="shared" si="3"/>
        <v>188.63485553743129</v>
      </c>
      <c r="X125" s="4">
        <f t="shared" si="3"/>
        <v>13.370000000000001</v>
      </c>
      <c r="Z125" s="172">
        <f t="shared" si="4"/>
        <v>151.21485553743128</v>
      </c>
      <c r="AB125" s="247"/>
      <c r="AC125" s="247"/>
      <c r="AD125" s="247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</row>
    <row r="126" spans="1:49" x14ac:dyDescent="0.2">
      <c r="A126" s="8">
        <v>18200</v>
      </c>
      <c r="B126" s="8" t="s">
        <v>176</v>
      </c>
      <c r="C126" s="8" t="s">
        <v>73</v>
      </c>
      <c r="D126" s="29" t="s">
        <v>1</v>
      </c>
      <c r="E126" s="19"/>
      <c r="F126" s="1">
        <v>0</v>
      </c>
      <c r="G126" s="1">
        <v>0</v>
      </c>
      <c r="H126" s="1">
        <v>0</v>
      </c>
      <c r="I126" s="246"/>
      <c r="J126" s="1">
        <v>835.38137666054081</v>
      </c>
      <c r="K126" s="1">
        <v>835.38137666054081</v>
      </c>
      <c r="L126" s="1"/>
      <c r="M126" s="246"/>
      <c r="N126" s="1">
        <v>0</v>
      </c>
      <c r="O126" s="1">
        <v>0</v>
      </c>
      <c r="P126" s="1">
        <v>0</v>
      </c>
      <c r="Q126" s="246"/>
      <c r="R126" s="1">
        <v>10</v>
      </c>
      <c r="S126" s="1">
        <v>10</v>
      </c>
      <c r="T126" s="1">
        <v>0</v>
      </c>
      <c r="V126" s="4">
        <f t="shared" si="3"/>
        <v>845.38137666054081</v>
      </c>
      <c r="W126" s="4">
        <f t="shared" si="3"/>
        <v>845.38137666054081</v>
      </c>
      <c r="X126" s="4">
        <f t="shared" si="3"/>
        <v>0</v>
      </c>
      <c r="Z126" s="172">
        <f t="shared" si="4"/>
        <v>835.38137666054081</v>
      </c>
      <c r="AB126" s="247">
        <v>0</v>
      </c>
      <c r="AC126" s="247">
        <v>0</v>
      </c>
      <c r="AD126" s="247">
        <v>0</v>
      </c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</row>
    <row r="127" spans="1:49" x14ac:dyDescent="0.2">
      <c r="A127" s="8">
        <v>18250</v>
      </c>
      <c r="B127" s="8" t="s">
        <v>70</v>
      </c>
      <c r="C127" s="8" t="s">
        <v>26</v>
      </c>
      <c r="D127" s="29" t="s">
        <v>3</v>
      </c>
      <c r="E127" s="19"/>
      <c r="F127" s="1">
        <v>6203.66</v>
      </c>
      <c r="G127" s="1">
        <f>F127-H127</f>
        <v>5753.8899999999994</v>
      </c>
      <c r="H127" s="1">
        <v>449.77</v>
      </c>
      <c r="I127" s="246"/>
      <c r="J127" s="1">
        <v>589.60377767244665</v>
      </c>
      <c r="K127" s="1">
        <v>589.60377767244665</v>
      </c>
      <c r="L127" s="1"/>
      <c r="M127" s="246"/>
      <c r="N127" s="1">
        <v>0</v>
      </c>
      <c r="O127" s="1">
        <v>0</v>
      </c>
      <c r="P127" s="1">
        <v>0</v>
      </c>
      <c r="Q127" s="246"/>
      <c r="R127" s="1">
        <v>0</v>
      </c>
      <c r="S127" s="1">
        <v>0</v>
      </c>
      <c r="T127" s="1">
        <v>0</v>
      </c>
      <c r="V127" s="4">
        <f t="shared" si="3"/>
        <v>6793.2637776724468</v>
      </c>
      <c r="W127" s="4">
        <f t="shared" si="3"/>
        <v>6343.4937776724464</v>
      </c>
      <c r="X127" s="4">
        <f t="shared" si="3"/>
        <v>449.77</v>
      </c>
      <c r="Z127" s="172">
        <f t="shared" si="4"/>
        <v>6793.2637776724468</v>
      </c>
      <c r="AB127" s="247">
        <v>0</v>
      </c>
      <c r="AC127" s="247">
        <v>0</v>
      </c>
      <c r="AD127" s="247">
        <v>0</v>
      </c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</row>
    <row r="128" spans="1:49" x14ac:dyDescent="0.2">
      <c r="A128" s="8">
        <v>18350</v>
      </c>
      <c r="B128" s="8" t="s">
        <v>71</v>
      </c>
      <c r="C128" s="8" t="s">
        <v>74</v>
      </c>
      <c r="D128" s="29" t="s">
        <v>2</v>
      </c>
      <c r="E128" s="19"/>
      <c r="F128" s="1">
        <v>4543.68</v>
      </c>
      <c r="G128" s="1">
        <v>3416.8500000000004</v>
      </c>
      <c r="H128" s="1">
        <v>1126.83</v>
      </c>
      <c r="I128" s="246"/>
      <c r="J128" s="1">
        <v>698.16443108853821</v>
      </c>
      <c r="K128" s="1">
        <v>698.16443108853821</v>
      </c>
      <c r="L128" s="1"/>
      <c r="M128" s="246"/>
      <c r="N128" s="1">
        <v>167.32</v>
      </c>
      <c r="O128" s="1">
        <v>142.81</v>
      </c>
      <c r="P128" s="1">
        <v>24.509999999999998</v>
      </c>
      <c r="Q128" s="246"/>
      <c r="R128" s="1">
        <v>32.22</v>
      </c>
      <c r="S128" s="1">
        <v>29.869999999999997</v>
      </c>
      <c r="T128" s="1">
        <v>2.35</v>
      </c>
      <c r="V128" s="4">
        <f t="shared" si="3"/>
        <v>5441.3844310885388</v>
      </c>
      <c r="W128" s="4">
        <f t="shared" si="3"/>
        <v>4287.6944310885383</v>
      </c>
      <c r="X128" s="4">
        <f t="shared" si="3"/>
        <v>1153.6899999999998</v>
      </c>
      <c r="Z128" s="172">
        <f t="shared" si="4"/>
        <v>5241.8444310885388</v>
      </c>
      <c r="AB128" s="247">
        <v>22.13</v>
      </c>
      <c r="AC128" s="247">
        <v>20</v>
      </c>
      <c r="AD128" s="247">
        <v>2.73</v>
      </c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</row>
    <row r="129" spans="1:49" x14ac:dyDescent="0.2">
      <c r="A129" s="8">
        <v>18400</v>
      </c>
      <c r="B129" s="8" t="s">
        <v>177</v>
      </c>
      <c r="C129" s="8" t="s">
        <v>193</v>
      </c>
      <c r="D129" s="29" t="s">
        <v>4</v>
      </c>
      <c r="E129" s="19"/>
      <c r="F129" s="1">
        <v>4022.36</v>
      </c>
      <c r="G129" s="1">
        <f>F129-H129</f>
        <v>3766.1400000000003</v>
      </c>
      <c r="H129" s="1">
        <v>256.22000000000003</v>
      </c>
      <c r="I129" s="246"/>
      <c r="J129" s="1">
        <v>563.71923167818306</v>
      </c>
      <c r="K129" s="1">
        <v>563.71923167818306</v>
      </c>
      <c r="L129" s="1"/>
      <c r="M129" s="246"/>
      <c r="N129" s="1">
        <v>0</v>
      </c>
      <c r="O129" s="1">
        <v>0</v>
      </c>
      <c r="P129" s="1">
        <v>0</v>
      </c>
      <c r="Q129" s="246"/>
      <c r="R129" s="1">
        <v>0</v>
      </c>
      <c r="S129" s="1">
        <v>0</v>
      </c>
      <c r="T129" s="1">
        <v>0</v>
      </c>
      <c r="V129" s="4">
        <f t="shared" si="3"/>
        <v>4586.0792316781835</v>
      </c>
      <c r="W129" s="4">
        <f t="shared" si="3"/>
        <v>4329.8592316781833</v>
      </c>
      <c r="X129" s="4">
        <f t="shared" si="3"/>
        <v>256.22000000000003</v>
      </c>
      <c r="Z129" s="172">
        <f t="shared" si="4"/>
        <v>4586.0792316781835</v>
      </c>
      <c r="AB129" s="247">
        <v>0</v>
      </c>
      <c r="AC129" s="247">
        <v>0</v>
      </c>
      <c r="AD129" s="247">
        <v>0</v>
      </c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</row>
    <row r="130" spans="1:49" x14ac:dyDescent="0.2">
      <c r="A130" s="8">
        <v>18450</v>
      </c>
      <c r="B130" s="8" t="s">
        <v>178</v>
      </c>
      <c r="C130" s="8" t="s">
        <v>41</v>
      </c>
      <c r="D130" s="29" t="s">
        <v>2</v>
      </c>
      <c r="E130" s="19"/>
      <c r="F130" s="1">
        <v>14437</v>
      </c>
      <c r="G130" s="1">
        <v>12972</v>
      </c>
      <c r="H130" s="1">
        <v>1465</v>
      </c>
      <c r="I130" s="246"/>
      <c r="J130" s="1">
        <v>4412.0318780069347</v>
      </c>
      <c r="K130" s="1">
        <v>4412.0318780069347</v>
      </c>
      <c r="L130" s="1"/>
      <c r="M130" s="246"/>
      <c r="N130" s="1">
        <v>0</v>
      </c>
      <c r="O130" s="1">
        <v>0</v>
      </c>
      <c r="P130" s="1">
        <v>0</v>
      </c>
      <c r="Q130" s="246"/>
      <c r="R130" s="1">
        <v>1069</v>
      </c>
      <c r="S130" s="1">
        <v>1069</v>
      </c>
      <c r="T130" s="1">
        <v>0</v>
      </c>
      <c r="V130" s="4">
        <f t="shared" si="3"/>
        <v>19918.031878006936</v>
      </c>
      <c r="W130" s="4">
        <f t="shared" si="3"/>
        <v>18453.031878006936</v>
      </c>
      <c r="X130" s="4">
        <f t="shared" si="3"/>
        <v>1465</v>
      </c>
      <c r="Z130" s="172">
        <f t="shared" si="4"/>
        <v>18849.031878006936</v>
      </c>
      <c r="AB130" s="247">
        <v>0</v>
      </c>
      <c r="AC130" s="247">
        <v>0</v>
      </c>
      <c r="AD130" s="247">
        <v>0</v>
      </c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</row>
    <row r="131" spans="1:49" x14ac:dyDescent="0.2">
      <c r="A131" s="8">
        <v>18500</v>
      </c>
      <c r="B131" s="8" t="s">
        <v>72</v>
      </c>
      <c r="C131" s="8" t="s">
        <v>18</v>
      </c>
      <c r="D131" s="29" t="s">
        <v>3</v>
      </c>
      <c r="E131" s="19"/>
      <c r="F131" s="1">
        <v>6003.06</v>
      </c>
      <c r="G131" s="1">
        <f>F131-H131</f>
        <v>5594.85</v>
      </c>
      <c r="H131" s="1">
        <v>408.21</v>
      </c>
      <c r="I131" s="246"/>
      <c r="J131" s="1">
        <v>0</v>
      </c>
      <c r="K131" s="1">
        <v>0</v>
      </c>
      <c r="L131" s="1"/>
      <c r="M131" s="246"/>
      <c r="N131" s="1">
        <v>0</v>
      </c>
      <c r="O131" s="1">
        <v>0</v>
      </c>
      <c r="P131" s="1">
        <v>0</v>
      </c>
      <c r="Q131" s="246"/>
      <c r="R131" s="1">
        <v>1500</v>
      </c>
      <c r="S131" s="1">
        <v>1500</v>
      </c>
      <c r="T131" s="1">
        <v>0</v>
      </c>
      <c r="V131" s="4">
        <f t="shared" si="3"/>
        <v>7503.06</v>
      </c>
      <c r="W131" s="4">
        <f t="shared" si="3"/>
        <v>7094.85</v>
      </c>
      <c r="X131" s="4">
        <f t="shared" si="3"/>
        <v>408.21</v>
      </c>
      <c r="Z131" s="172">
        <f t="shared" si="4"/>
        <v>6003.06</v>
      </c>
      <c r="AB131" s="247">
        <v>0</v>
      </c>
      <c r="AC131" s="247">
        <v>0</v>
      </c>
      <c r="AD131" s="247">
        <v>0</v>
      </c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</row>
    <row r="132" spans="1:49" x14ac:dyDescent="0.2">
      <c r="A132" s="8">
        <v>18710</v>
      </c>
      <c r="B132" s="8" t="s">
        <v>179</v>
      </c>
      <c r="C132" s="8" t="s">
        <v>74</v>
      </c>
      <c r="D132" s="29" t="s">
        <v>1</v>
      </c>
      <c r="E132" s="19"/>
      <c r="F132" s="1">
        <v>773</v>
      </c>
      <c r="G132" s="1">
        <f>F132-H132</f>
        <v>740.84</v>
      </c>
      <c r="H132" s="1">
        <v>32.159999999999997</v>
      </c>
      <c r="I132" s="246"/>
      <c r="J132" s="1">
        <v>304.71780668920127</v>
      </c>
      <c r="K132" s="1">
        <v>304.71780668920127</v>
      </c>
      <c r="L132" s="1"/>
      <c r="M132" s="246"/>
      <c r="N132" s="1">
        <v>1603</v>
      </c>
      <c r="O132" s="1">
        <v>1603</v>
      </c>
      <c r="P132" s="1">
        <v>0</v>
      </c>
      <c r="Q132" s="246"/>
      <c r="R132" s="1">
        <v>0</v>
      </c>
      <c r="S132" s="1">
        <v>0</v>
      </c>
      <c r="T132" s="1">
        <v>0</v>
      </c>
      <c r="V132" s="4">
        <f>F132+N132+R132+J132</f>
        <v>2680.7178066892011</v>
      </c>
      <c r="W132" s="4">
        <f>G132+O132+S132+K132</f>
        <v>2648.5578066892012</v>
      </c>
      <c r="X132" s="4">
        <f>H132+P132+T132+L132</f>
        <v>32.159999999999997</v>
      </c>
      <c r="Z132" s="172">
        <f t="shared" si="4"/>
        <v>1077.7178066892013</v>
      </c>
      <c r="AB132" s="247">
        <v>0</v>
      </c>
      <c r="AC132" s="247">
        <v>0</v>
      </c>
      <c r="AD132" s="247">
        <v>0</v>
      </c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</row>
    <row r="133" spans="1:49" s="153" customFormat="1" ht="11.25" x14ac:dyDescent="0.2">
      <c r="F133" s="248"/>
      <c r="G133" s="157"/>
      <c r="H133" s="157"/>
      <c r="J133" s="248"/>
      <c r="K133" s="157"/>
      <c r="L133" s="157"/>
      <c r="N133" s="248"/>
      <c r="O133" s="157"/>
      <c r="P133" s="157"/>
      <c r="R133" s="248"/>
      <c r="S133" s="157"/>
      <c r="T133" s="157"/>
      <c r="V133" s="2"/>
      <c r="W133" s="2"/>
      <c r="X133" s="2"/>
      <c r="Z133" s="172"/>
      <c r="AB133" s="157"/>
      <c r="AC133" s="157"/>
      <c r="AD133" s="157"/>
    </row>
    <row r="134" spans="1:49" s="153" customFormat="1" ht="11.25" x14ac:dyDescent="0.2">
      <c r="A134" s="652" t="s">
        <v>0</v>
      </c>
      <c r="B134" s="652"/>
      <c r="C134" s="652"/>
      <c r="D134" s="154"/>
      <c r="G134" s="250"/>
      <c r="H134" s="157"/>
      <c r="K134" s="157"/>
      <c r="L134" s="157"/>
      <c r="N134" s="597"/>
      <c r="O134" s="155"/>
      <c r="P134" s="157"/>
      <c r="R134" s="156"/>
      <c r="S134" s="155"/>
      <c r="T134" s="157"/>
      <c r="V134" s="2"/>
      <c r="W134" s="168"/>
      <c r="X134" s="168"/>
      <c r="Z134" s="251"/>
      <c r="AA134" s="251"/>
      <c r="AB134" s="157"/>
      <c r="AC134" s="157"/>
      <c r="AD134" s="157"/>
      <c r="AE134" s="251"/>
    </row>
    <row r="135" spans="1:49" s="153" customFormat="1" ht="15" customHeight="1" x14ac:dyDescent="0.2">
      <c r="A135" s="628" t="s">
        <v>8</v>
      </c>
      <c r="B135" s="629"/>
      <c r="C135" s="630"/>
      <c r="D135" s="154"/>
      <c r="F135" s="159">
        <f>SUM(F5:F132)</f>
        <v>563595.23000000021</v>
      </c>
      <c r="G135" s="159">
        <f>SUM(G5:G132)</f>
        <v>499049.2199999998</v>
      </c>
      <c r="H135" s="159">
        <f>SUM(H5:H132)</f>
        <v>64546.01</v>
      </c>
      <c r="I135" s="252"/>
      <c r="J135" s="159">
        <f>SUM(J5:J132)</f>
        <v>136067.03061781358</v>
      </c>
      <c r="K135" s="159">
        <f>SUM(K5:K132)</f>
        <v>136067.03061781358</v>
      </c>
      <c r="L135" s="159">
        <f>SUM(L5:L132)</f>
        <v>0</v>
      </c>
      <c r="M135" s="252"/>
      <c r="N135" s="159">
        <f>SUM(N5:N132)</f>
        <v>107773.55999999998</v>
      </c>
      <c r="O135" s="159">
        <f>SUM(O5:O132)</f>
        <v>103998.36999999997</v>
      </c>
      <c r="P135" s="159">
        <f>SUM(P5:P132)</f>
        <v>3775.1899999999996</v>
      </c>
      <c r="Q135" s="252"/>
      <c r="R135" s="159">
        <f>SUM(R5:R132)</f>
        <v>20523.82</v>
      </c>
      <c r="S135" s="159">
        <f>SUM(S5:S132)</f>
        <v>20108.709999999995</v>
      </c>
      <c r="T135" s="159">
        <f>SUM(T5:T132)</f>
        <v>415.11</v>
      </c>
      <c r="V135" s="159">
        <f>SUM(V5:V132)</f>
        <v>827959.64061781368</v>
      </c>
      <c r="W135" s="159">
        <f>SUM(W5:W132)</f>
        <v>759223.33061781363</v>
      </c>
      <c r="X135" s="159">
        <f>SUM(X5:X132)</f>
        <v>68736.31</v>
      </c>
      <c r="Y135" s="163">
        <f>W135/V135</f>
        <v>0.91698108624146235</v>
      </c>
      <c r="Z135" s="253">
        <f>F135+J135</f>
        <v>699662.26061781379</v>
      </c>
      <c r="AA135" s="253"/>
      <c r="AB135" s="159">
        <f>SUM(AB5:AB132)</f>
        <v>4571.87</v>
      </c>
      <c r="AC135" s="159">
        <f>SUM(AC5:AC132)</f>
        <v>4567</v>
      </c>
      <c r="AD135" s="159">
        <f>SUM(AD5:AD132)</f>
        <v>3.23</v>
      </c>
      <c r="AE135" s="251"/>
      <c r="AF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595"/>
    </row>
    <row r="136" spans="1:49" s="153" customFormat="1" ht="11.25" x14ac:dyDescent="0.2">
      <c r="B136" s="252" t="s">
        <v>181</v>
      </c>
      <c r="D136" s="154"/>
      <c r="F136" s="157"/>
      <c r="G136" s="157"/>
      <c r="H136" s="156"/>
      <c r="J136" s="157"/>
      <c r="K136" s="157"/>
      <c r="L136" s="157"/>
      <c r="N136" s="157"/>
      <c r="O136" s="157"/>
      <c r="P136" s="157"/>
      <c r="R136" s="157"/>
      <c r="S136" s="157"/>
      <c r="T136" s="157"/>
      <c r="V136" s="125"/>
      <c r="W136" s="125"/>
      <c r="X136" s="125"/>
      <c r="Z136" s="165"/>
      <c r="AA136" s="251"/>
      <c r="AB136" s="157"/>
      <c r="AC136" s="157"/>
      <c r="AD136" s="157"/>
      <c r="AE136" s="251"/>
      <c r="AF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595"/>
    </row>
    <row r="137" spans="1:49" s="153" customFormat="1" ht="15" customHeight="1" x14ac:dyDescent="0.2">
      <c r="A137" s="624" t="s">
        <v>9</v>
      </c>
      <c r="B137" s="624"/>
      <c r="C137" s="624"/>
      <c r="D137" s="166"/>
      <c r="E137" s="166">
        <f>SUMIF($D$5:$D$132,"S",E$5:E$132)</f>
        <v>0</v>
      </c>
      <c r="F137" s="166">
        <f>SUMIF($D$5:$D$132,"S",F$5:F$132)</f>
        <v>307935.63999999996</v>
      </c>
      <c r="G137" s="166">
        <f>SUMIF($D$5:$D$132,"S",G$5:G$132)</f>
        <v>273100.02</v>
      </c>
      <c r="H137" s="166">
        <f>SUMIF($D$5:$D$132,"S",H$5:H$132)</f>
        <v>34835.619999999988</v>
      </c>
      <c r="J137" s="166">
        <f>SUMIF($D$5:$D$132,"S",J$5:J$132)</f>
        <v>56160.378310796419</v>
      </c>
      <c r="K137" s="166">
        <f>SUMIF($D$5:$D$132,"S",K$5:K$132)</f>
        <v>56160.378310796419</v>
      </c>
      <c r="L137" s="166">
        <f>SUMIF($D$5:$D$132,"S",L$5:L$132)</f>
        <v>0</v>
      </c>
      <c r="N137" s="166">
        <f>SUMIF($D$5:$D$132,"S",N$5:N$132)</f>
        <v>3251.07</v>
      </c>
      <c r="O137" s="166">
        <f>SUMIF($D$5:$D$132,"S",O$5:O$132)</f>
        <v>3100.1600000000008</v>
      </c>
      <c r="P137" s="166">
        <f>SUMIF($D$5:$D$132,"S",P$5:P$132)</f>
        <v>150.91</v>
      </c>
      <c r="R137" s="166">
        <f>SUMIF($D$5:$D$132,"S",R$5:R$132)</f>
        <v>13747.43</v>
      </c>
      <c r="S137" s="166">
        <f>SUMIF($D$5:$D$132,"S",S$5:S$132)</f>
        <v>13383.17</v>
      </c>
      <c r="T137" s="166">
        <f>SUMIF($D$5:$D$132,"S",T$5:T$132)</f>
        <v>364.26</v>
      </c>
      <c r="V137" s="166">
        <f>SUMIF($D$5:$D$132,"S",V$5:V$132)</f>
        <v>381094.51831079641</v>
      </c>
      <c r="W137" s="166">
        <f>SUMIF($D$5:$D$132,"S",W$5:W$132)</f>
        <v>345743.72831079649</v>
      </c>
      <c r="X137" s="166">
        <f>SUMIF($D$5:$D$132,"S",X$5:X$132)</f>
        <v>35350.789999999994</v>
      </c>
      <c r="Y137" s="163"/>
      <c r="Z137" s="166">
        <f>F137+J137</f>
        <v>364096.01831079635</v>
      </c>
      <c r="AA137" s="251"/>
      <c r="AB137" s="166">
        <f>SUMIF($D$5:$D$132,"S",AB$5:AB$132)</f>
        <v>0.35</v>
      </c>
      <c r="AC137" s="166">
        <f>SUMIF($D$5:$D$132,"S",AC$5:AC$132)</f>
        <v>0</v>
      </c>
      <c r="AD137" s="166">
        <f>SUMIF($D$5:$D$132,"S",AD$5:AD$132)</f>
        <v>0</v>
      </c>
      <c r="AE137" s="251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595"/>
    </row>
    <row r="138" spans="1:49" s="153" customFormat="1" ht="15" customHeight="1" x14ac:dyDescent="0.2">
      <c r="A138" s="624" t="s">
        <v>10</v>
      </c>
      <c r="B138" s="624"/>
      <c r="C138" s="624"/>
      <c r="D138" s="254"/>
      <c r="E138" s="165"/>
      <c r="F138" s="166">
        <f>SUMIF($D$5:$D$132,"E",F$5:F$132)</f>
        <v>117830.15</v>
      </c>
      <c r="G138" s="166">
        <f>SUMIF($D$5:$D$132,"E",G$5:G$132)</f>
        <v>104017.19000000002</v>
      </c>
      <c r="H138" s="166">
        <f>SUMIF($D$5:$D$132,"E",H$5:H$132)</f>
        <v>13812.960000000001</v>
      </c>
      <c r="J138" s="166">
        <f>SUMIF($D$5:$D$132,"E",J$5:J$132)</f>
        <v>31802.264147798753</v>
      </c>
      <c r="K138" s="166">
        <f>SUMIF($D$5:$D$132,"E",K$5:K$132)</f>
        <v>31802.264147798753</v>
      </c>
      <c r="L138" s="166">
        <f>SUMIF($D$5:$D$132,"E",L$5:L$132)</f>
        <v>0</v>
      </c>
      <c r="N138" s="166">
        <f>SUMIF($D$5:$D$132,"E",N$5:N$132)</f>
        <v>22543.53</v>
      </c>
      <c r="O138" s="166">
        <f>SUMIF($D$5:$D$132,"E",O$5:O$132)</f>
        <v>22514.640000000003</v>
      </c>
      <c r="P138" s="166">
        <f>SUMIF($D$5:$D$132,"E",P$5:P$132)</f>
        <v>28.889999999999997</v>
      </c>
      <c r="R138" s="166">
        <f>SUMIF($D$5:$D$132,"E",R$5:R$132)</f>
        <v>3594.81</v>
      </c>
      <c r="S138" s="166">
        <f>SUMIF($D$5:$D$132,"E",S$5:S$132)</f>
        <v>3592.46</v>
      </c>
      <c r="T138" s="166">
        <f>SUMIF($D$5:$D$132,"E",T$5:T$132)</f>
        <v>2.35</v>
      </c>
      <c r="V138" s="166">
        <f>SUMIF($D$5:$D$132,"E",V$5:V$132)</f>
        <v>175770.75414779875</v>
      </c>
      <c r="W138" s="166">
        <f>SUMIF($D$5:$D$132,"E",W$5:W$132)</f>
        <v>161926.55414779874</v>
      </c>
      <c r="X138" s="166">
        <f>SUMIF($D$5:$D$132,"E",X$5:X$132)</f>
        <v>13844.2</v>
      </c>
      <c r="Y138" s="163"/>
      <c r="Z138" s="166">
        <f>F138+J138</f>
        <v>149632.41414779876</v>
      </c>
      <c r="AA138" s="251"/>
      <c r="AB138" s="166">
        <f>SUMIF($D$5:$D$132,"E",AB$5:AB$132)</f>
        <v>100.99</v>
      </c>
      <c r="AC138" s="166">
        <f>SUMIF($D$5:$D$132,"E",AC$5:AC$132)</f>
        <v>98</v>
      </c>
      <c r="AD138" s="166">
        <f>SUMIF($D$5:$D$132,"E",AD$5:AD$132)</f>
        <v>2.73</v>
      </c>
      <c r="AE138" s="251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595"/>
    </row>
    <row r="139" spans="1:49" s="153" customFormat="1" ht="15" customHeight="1" x14ac:dyDescent="0.2">
      <c r="A139" s="624" t="s">
        <v>11</v>
      </c>
      <c r="B139" s="624"/>
      <c r="C139" s="624"/>
      <c r="D139" s="254"/>
      <c r="E139" s="165"/>
      <c r="F139" s="166">
        <f>SUMIF($D$5:$D$132,"R",F$5:F$132)</f>
        <v>70102.340000000011</v>
      </c>
      <c r="G139" s="166">
        <f>SUMIF($D$5:$D$132,"R",G$5:G$132)</f>
        <v>62184.360000000015</v>
      </c>
      <c r="H139" s="166">
        <f>SUMIF($D$5:$D$132,"R",H$5:H$132)</f>
        <v>7917.98</v>
      </c>
      <c r="J139" s="166">
        <f>SUMIF($D$5:$D$132,"R",J$5:J$132)</f>
        <v>20354.306064096185</v>
      </c>
      <c r="K139" s="166">
        <f>SUMIF($D$5:$D$132,"R",K$5:K$132)</f>
        <v>20354.306064096185</v>
      </c>
      <c r="L139" s="166">
        <f>SUMIF($D$5:$D$132,"R",L$5:L$132)</f>
        <v>0</v>
      </c>
      <c r="N139" s="166">
        <f>SUMIF($D$5:$D$132,"R",N$5:N$132)</f>
        <v>24038.21</v>
      </c>
      <c r="O139" s="166">
        <f>SUMIF($D$5:$D$132,"R",O$5:O$132)</f>
        <v>23966.05</v>
      </c>
      <c r="P139" s="166">
        <f>SUMIF($D$5:$D$132,"R",P$5:P$132)</f>
        <v>72.16</v>
      </c>
      <c r="R139" s="166">
        <f>SUMIF($D$5:$D$132,"R",R$5:R$132)</f>
        <v>1661.85</v>
      </c>
      <c r="S139" s="166">
        <f>SUMIF($D$5:$D$132,"R",S$5:S$132)</f>
        <v>1661.85</v>
      </c>
      <c r="T139" s="166">
        <f>SUMIF($D$5:$D$132,"R",T$5:T$132)</f>
        <v>0</v>
      </c>
      <c r="V139" s="166">
        <f>SUMIF($D$5:$D$132,"R",V$5:V$132)</f>
        <v>116156.70606409617</v>
      </c>
      <c r="W139" s="166">
        <f>SUMIF($D$5:$D$132,"R",W$5:W$132)</f>
        <v>108166.56606409616</v>
      </c>
      <c r="X139" s="166">
        <f>SUMIF($D$5:$D$132,"R",X$5:X$132)</f>
        <v>7990.1400000000012</v>
      </c>
      <c r="Y139" s="163"/>
      <c r="Z139" s="166">
        <f>F139+J139</f>
        <v>90456.646064096189</v>
      </c>
      <c r="AA139" s="251"/>
      <c r="AB139" s="166">
        <f>SUMIF($D$5:$D$132,"R",AB$5:AB$132)</f>
        <v>21</v>
      </c>
      <c r="AC139" s="166">
        <f>SUMIF($D$5:$D$132,"R",AC$5:AC$132)</f>
        <v>21</v>
      </c>
      <c r="AD139" s="166">
        <f>SUMIF($D$5:$D$132,"R",AD$5:AD$132)</f>
        <v>0</v>
      </c>
      <c r="AE139" s="251"/>
      <c r="AF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595"/>
    </row>
    <row r="140" spans="1:49" s="153" customFormat="1" ht="15" customHeight="1" x14ac:dyDescent="0.2">
      <c r="A140" s="624" t="s">
        <v>12</v>
      </c>
      <c r="B140" s="624"/>
      <c r="C140" s="624"/>
      <c r="D140" s="254"/>
      <c r="E140" s="165"/>
      <c r="F140" s="166">
        <f>SUMIF($D$5:$D$132,"N",F$5:F$132)</f>
        <v>67727.099999999991</v>
      </c>
      <c r="G140" s="166">
        <f>SUMIF($D$5:$D$132,"N",G$5:G$132)</f>
        <v>59747.649999999987</v>
      </c>
      <c r="H140" s="166">
        <f>SUMIF($D$5:$D$132,"N",H$5:H$132)</f>
        <v>7979.4500000000016</v>
      </c>
      <c r="J140" s="166">
        <f>SUMIF($D$5:$D$132,"N",J$5:J$132)</f>
        <v>27750.082095122234</v>
      </c>
      <c r="K140" s="166">
        <f>SUMIF($D$5:$D$132,"N",K$5:K$132)</f>
        <v>27750.082095122234</v>
      </c>
      <c r="L140" s="166">
        <f>SUMIF($D$5:$D$132,"N",L$5:L$132)</f>
        <v>0</v>
      </c>
      <c r="N140" s="166">
        <f>SUMIF($D$5:$D$132,"N",N$5:N$132)</f>
        <v>57940.75</v>
      </c>
      <c r="O140" s="166">
        <f>SUMIF($D$5:$D$132,"N",O$5:O$132)</f>
        <v>54417.51999999999</v>
      </c>
      <c r="P140" s="166">
        <f>SUMIF($D$5:$D$132,"N",P$5:P$132)</f>
        <v>3523.2299999999996</v>
      </c>
      <c r="R140" s="166">
        <f>SUMIF($D$5:$D$132,"N",R$5:R$132)</f>
        <v>1519.7299999999998</v>
      </c>
      <c r="S140" s="166">
        <f>SUMIF($D$5:$D$132,"N",S$5:S$132)</f>
        <v>1471.23</v>
      </c>
      <c r="T140" s="166">
        <f>SUMIF($D$5:$D$132,"N",T$5:T$132)</f>
        <v>48.5</v>
      </c>
      <c r="V140" s="166">
        <f>SUMIF($D$5:$D$132,"N",V$5:V$132)</f>
        <v>154937.66209512227</v>
      </c>
      <c r="W140" s="166">
        <f>SUMIF($D$5:$D$132,"N",W$5:W$132)</f>
        <v>143386.48209512228</v>
      </c>
      <c r="X140" s="166">
        <f>SUMIF($D$5:$D$132,"N",X$5:X$132)</f>
        <v>11551.18</v>
      </c>
      <c r="Y140" s="163"/>
      <c r="Z140" s="166">
        <f>F140+J140</f>
        <v>95477.182095122233</v>
      </c>
      <c r="AA140" s="251"/>
      <c r="AB140" s="166">
        <f>SUMIF($D$5:$D$132,"N",AB$5:AB$132)</f>
        <v>4449.53</v>
      </c>
      <c r="AC140" s="166">
        <f>SUMIF($D$5:$D$132,"N",AC$5:AC$132)</f>
        <v>4448</v>
      </c>
      <c r="AD140" s="166">
        <f>SUMIF($D$5:$D$132,"N",AD$5:AD$132)</f>
        <v>0.5</v>
      </c>
      <c r="AE140" s="251"/>
      <c r="AF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595"/>
    </row>
    <row r="141" spans="1:49" s="153" customFormat="1" ht="15" customHeight="1" x14ac:dyDescent="0.2">
      <c r="A141" s="112"/>
      <c r="B141" s="112"/>
      <c r="C141" s="112"/>
      <c r="D141" s="254"/>
      <c r="E141" s="165"/>
      <c r="F141" s="170"/>
      <c r="G141" s="170"/>
      <c r="H141" s="170"/>
      <c r="J141" s="170"/>
      <c r="K141" s="170"/>
      <c r="L141" s="170"/>
      <c r="N141" s="170"/>
      <c r="O141" s="170"/>
      <c r="P141" s="170"/>
      <c r="R141" s="170"/>
      <c r="S141" s="170"/>
      <c r="T141" s="170"/>
      <c r="V141" s="170"/>
      <c r="W141" s="170"/>
      <c r="X141" s="170"/>
      <c r="Y141" s="163"/>
      <c r="Z141" s="170"/>
      <c r="AA141" s="251"/>
      <c r="AB141" s="170"/>
      <c r="AC141" s="170"/>
      <c r="AD141" s="170"/>
      <c r="AE141" s="251"/>
      <c r="AH141" s="172"/>
      <c r="AI141" s="172"/>
      <c r="AJ141" s="172"/>
      <c r="AL141" s="172"/>
    </row>
    <row r="142" spans="1:49" s="153" customFormat="1" ht="15" customHeight="1" x14ac:dyDescent="0.2">
      <c r="A142" s="628" t="s">
        <v>8</v>
      </c>
      <c r="B142" s="629"/>
      <c r="C142" s="630"/>
      <c r="D142" s="154"/>
      <c r="F142" s="159">
        <v>564248.62</v>
      </c>
      <c r="G142" s="159">
        <v>510886.98999999993</v>
      </c>
      <c r="H142" s="159">
        <v>53361.630000000005</v>
      </c>
      <c r="I142" s="252"/>
      <c r="J142" s="159">
        <v>119353.46022253214</v>
      </c>
      <c r="K142" s="159">
        <v>119353.46022253214</v>
      </c>
      <c r="L142" s="159">
        <v>0</v>
      </c>
      <c r="M142" s="252"/>
      <c r="N142" s="159">
        <v>91876.169999999984</v>
      </c>
      <c r="O142" s="159">
        <v>91058.529999999984</v>
      </c>
      <c r="P142" s="159">
        <v>817.64</v>
      </c>
      <c r="Q142" s="252"/>
      <c r="R142" s="159">
        <v>20982.589999999997</v>
      </c>
      <c r="S142" s="159">
        <v>17370.169999999998</v>
      </c>
      <c r="T142" s="159">
        <v>3612.42</v>
      </c>
      <c r="V142" s="159">
        <v>796460.84022253216</v>
      </c>
      <c r="W142" s="159">
        <v>738669.15022253233</v>
      </c>
      <c r="X142" s="159">
        <v>57791.69000000001</v>
      </c>
      <c r="Y142" s="163">
        <v>0.92743938297851181</v>
      </c>
      <c r="Z142" s="253">
        <v>683602.08022253215</v>
      </c>
      <c r="AA142" s="253"/>
      <c r="AB142" s="159">
        <v>4026.0600000000004</v>
      </c>
      <c r="AC142" s="159">
        <v>4019.94</v>
      </c>
      <c r="AD142" s="159">
        <v>6.1199999999999442</v>
      </c>
      <c r="AE142" s="251"/>
      <c r="AF142" s="172"/>
      <c r="AH142" s="172"/>
      <c r="AI142" s="172"/>
      <c r="AJ142" s="172"/>
      <c r="AL142" s="172"/>
    </row>
    <row r="143" spans="1:49" s="153" customFormat="1" ht="11.25" x14ac:dyDescent="0.2">
      <c r="B143" s="252" t="s">
        <v>569</v>
      </c>
      <c r="D143" s="154"/>
      <c r="F143" s="157"/>
      <c r="G143" s="157"/>
      <c r="H143" s="156"/>
      <c r="J143" s="157"/>
      <c r="K143" s="157"/>
      <c r="L143" s="157"/>
      <c r="N143" s="157"/>
      <c r="O143" s="157"/>
      <c r="P143" s="157"/>
      <c r="R143" s="157"/>
      <c r="S143" s="157"/>
      <c r="T143" s="157"/>
      <c r="V143" s="125"/>
      <c r="W143" s="125"/>
      <c r="X143" s="125"/>
      <c r="Z143" s="165"/>
      <c r="AA143" s="251"/>
      <c r="AB143" s="157"/>
      <c r="AC143" s="157"/>
      <c r="AD143" s="157"/>
      <c r="AE143" s="251"/>
      <c r="AL143" s="172"/>
    </row>
    <row r="144" spans="1:49" s="153" customFormat="1" ht="15" customHeight="1" x14ac:dyDescent="0.2">
      <c r="A144" s="624" t="s">
        <v>9</v>
      </c>
      <c r="B144" s="624"/>
      <c r="C144" s="624"/>
      <c r="D144" s="166"/>
      <c r="E144" s="166">
        <f>SUMIF($D$5:$D$132,"S",E$5:E$132)</f>
        <v>0</v>
      </c>
      <c r="F144" s="166">
        <v>312930.09000000003</v>
      </c>
      <c r="G144" s="166">
        <v>283301.7</v>
      </c>
      <c r="H144" s="166">
        <v>29628.390000000003</v>
      </c>
      <c r="J144" s="166">
        <v>48514.123946724852</v>
      </c>
      <c r="K144" s="166">
        <v>48514.123946724852</v>
      </c>
      <c r="L144" s="166">
        <v>0</v>
      </c>
      <c r="N144" s="166">
        <v>3039.04</v>
      </c>
      <c r="O144" s="166">
        <v>3029.5099999999998</v>
      </c>
      <c r="P144" s="166">
        <v>9.5300000000000011</v>
      </c>
      <c r="R144" s="166">
        <v>14349.020000000002</v>
      </c>
      <c r="S144" s="166">
        <v>10790.6</v>
      </c>
      <c r="T144" s="166">
        <v>3558.42</v>
      </c>
      <c r="V144" s="166">
        <v>378832.27394672483</v>
      </c>
      <c r="W144" s="166">
        <v>345635.93394672481</v>
      </c>
      <c r="X144" s="166">
        <v>33196.339999999997</v>
      </c>
      <c r="Y144" s="163"/>
      <c r="Z144" s="166">
        <v>361444.21394672489</v>
      </c>
      <c r="AA144" s="251"/>
      <c r="AB144" s="166">
        <v>160.74</v>
      </c>
      <c r="AC144" s="166">
        <v>160.74</v>
      </c>
      <c r="AD144" s="166">
        <v>0</v>
      </c>
      <c r="AE144" s="251"/>
      <c r="AG144" s="172"/>
      <c r="AH144" s="172"/>
      <c r="AI144" s="172"/>
      <c r="AJ144" s="172"/>
      <c r="AL144" s="172"/>
    </row>
    <row r="145" spans="1:38" s="153" customFormat="1" ht="15" customHeight="1" x14ac:dyDescent="0.2">
      <c r="A145" s="624" t="s">
        <v>10</v>
      </c>
      <c r="B145" s="624"/>
      <c r="C145" s="624"/>
      <c r="D145" s="254"/>
      <c r="E145" s="165"/>
      <c r="F145" s="166">
        <v>118290.47999999998</v>
      </c>
      <c r="G145" s="166">
        <v>108029.3</v>
      </c>
      <c r="H145" s="166">
        <v>10261.18</v>
      </c>
      <c r="J145" s="166">
        <v>28406.404064463808</v>
      </c>
      <c r="K145" s="166">
        <v>28406.404064463808</v>
      </c>
      <c r="L145" s="166">
        <v>0</v>
      </c>
      <c r="N145" s="166">
        <v>21516.31</v>
      </c>
      <c r="O145" s="166">
        <v>21499.31</v>
      </c>
      <c r="P145" s="166">
        <v>17</v>
      </c>
      <c r="R145" s="166">
        <v>3941.72</v>
      </c>
      <c r="S145" s="166">
        <v>3939.72</v>
      </c>
      <c r="T145" s="166">
        <v>2</v>
      </c>
      <c r="V145" s="166">
        <v>172154.91406446381</v>
      </c>
      <c r="W145" s="166">
        <v>161874.73406446379</v>
      </c>
      <c r="X145" s="166">
        <v>10280.18</v>
      </c>
      <c r="Y145" s="163"/>
      <c r="Z145" s="166">
        <v>146696.88406446378</v>
      </c>
      <c r="AA145" s="251"/>
      <c r="AB145" s="166">
        <v>112.36</v>
      </c>
      <c r="AC145" s="166">
        <v>109.36</v>
      </c>
      <c r="AD145" s="166">
        <v>3</v>
      </c>
      <c r="AE145" s="251"/>
      <c r="AG145" s="172"/>
      <c r="AH145" s="172"/>
      <c r="AI145" s="172"/>
      <c r="AJ145" s="172"/>
      <c r="AL145" s="172"/>
    </row>
    <row r="146" spans="1:38" s="153" customFormat="1" ht="15" customHeight="1" x14ac:dyDescent="0.2">
      <c r="A146" s="624" t="s">
        <v>11</v>
      </c>
      <c r="B146" s="624"/>
      <c r="C146" s="624"/>
      <c r="D146" s="254"/>
      <c r="E146" s="165"/>
      <c r="F146" s="166">
        <v>71210.339999999982</v>
      </c>
      <c r="G146" s="166">
        <v>64054.52</v>
      </c>
      <c r="H146" s="166">
        <v>7155.82</v>
      </c>
      <c r="J146" s="166">
        <v>18120.533800456848</v>
      </c>
      <c r="K146" s="166">
        <v>18120.533800456848</v>
      </c>
      <c r="L146" s="166">
        <v>0</v>
      </c>
      <c r="N146" s="166">
        <v>25011.319999999992</v>
      </c>
      <c r="O146" s="166">
        <v>24992.44999999999</v>
      </c>
      <c r="P146" s="166">
        <v>18.869999999999997</v>
      </c>
      <c r="R146" s="166">
        <v>1694.98</v>
      </c>
      <c r="S146" s="166">
        <v>1643.98</v>
      </c>
      <c r="T146" s="166">
        <v>51</v>
      </c>
      <c r="V146" s="166">
        <v>116037.17380045686</v>
      </c>
      <c r="W146" s="166">
        <v>108811.48380045687</v>
      </c>
      <c r="X146" s="166">
        <v>7225.69</v>
      </c>
      <c r="Y146" s="163"/>
      <c r="Z146" s="166">
        <v>89330.873800456829</v>
      </c>
      <c r="AA146" s="251"/>
      <c r="AB146" s="166">
        <v>24.18</v>
      </c>
      <c r="AC146" s="166">
        <v>23.84</v>
      </c>
      <c r="AD146" s="166">
        <v>0.33999999999999986</v>
      </c>
      <c r="AE146" s="251"/>
      <c r="AH146" s="172"/>
      <c r="AI146" s="172"/>
      <c r="AJ146" s="172"/>
      <c r="AL146" s="172"/>
    </row>
    <row r="147" spans="1:38" s="153" customFormat="1" ht="15" customHeight="1" x14ac:dyDescent="0.2">
      <c r="A147" s="624" t="s">
        <v>12</v>
      </c>
      <c r="B147" s="624"/>
      <c r="C147" s="624"/>
      <c r="D147" s="254"/>
      <c r="E147" s="165"/>
      <c r="F147" s="166">
        <v>61817.71</v>
      </c>
      <c r="G147" s="166">
        <v>55501.470000000016</v>
      </c>
      <c r="H147" s="166">
        <v>6316.2400000000025</v>
      </c>
      <c r="J147" s="166">
        <v>24312.39841088669</v>
      </c>
      <c r="K147" s="166">
        <v>24312.39841088669</v>
      </c>
      <c r="L147" s="166">
        <v>0</v>
      </c>
      <c r="N147" s="166">
        <v>42309.5</v>
      </c>
      <c r="O147" s="166">
        <v>41537.26</v>
      </c>
      <c r="P147" s="166">
        <v>772.24</v>
      </c>
      <c r="R147" s="166">
        <v>996.87</v>
      </c>
      <c r="S147" s="166">
        <v>995.87</v>
      </c>
      <c r="T147" s="166">
        <v>1</v>
      </c>
      <c r="V147" s="166">
        <v>129436.47841088666</v>
      </c>
      <c r="W147" s="166">
        <v>122346.99841088668</v>
      </c>
      <c r="X147" s="166">
        <v>7089.4800000000014</v>
      </c>
      <c r="Y147" s="163"/>
      <c r="Z147" s="166">
        <v>86130.108410886693</v>
      </c>
      <c r="AA147" s="251"/>
      <c r="AB147" s="166">
        <v>3728.78</v>
      </c>
      <c r="AC147" s="166">
        <v>3726</v>
      </c>
      <c r="AD147" s="166">
        <v>2.7799999999999443</v>
      </c>
      <c r="AE147" s="251"/>
      <c r="AH147" s="172"/>
      <c r="AI147" s="172"/>
      <c r="AJ147" s="172"/>
      <c r="AL147" s="172"/>
    </row>
    <row r="148" spans="1:38" s="153" customFormat="1" ht="15" customHeight="1" x14ac:dyDescent="0.2">
      <c r="A148" s="112"/>
      <c r="B148" s="112"/>
      <c r="C148" s="112"/>
      <c r="D148" s="254"/>
      <c r="E148" s="165"/>
      <c r="F148" s="170"/>
      <c r="G148" s="170"/>
      <c r="H148" s="170"/>
      <c r="I148" s="170"/>
      <c r="J148" s="170"/>
      <c r="K148" s="170"/>
      <c r="L148" s="170"/>
      <c r="N148" s="170"/>
      <c r="O148" s="170"/>
      <c r="P148" s="170"/>
      <c r="R148" s="170"/>
      <c r="S148" s="170"/>
      <c r="T148" s="170"/>
      <c r="V148" s="170"/>
      <c r="W148" s="170"/>
      <c r="X148" s="170"/>
      <c r="Y148" s="163"/>
      <c r="Z148" s="172"/>
      <c r="AA148" s="251"/>
      <c r="AB148" s="172"/>
      <c r="AC148" s="172"/>
      <c r="AD148" s="172"/>
      <c r="AE148" s="251"/>
      <c r="AH148" s="172"/>
      <c r="AI148" s="172"/>
      <c r="AJ148" s="172"/>
    </row>
    <row r="149" spans="1:38" s="153" customFormat="1" ht="15" customHeight="1" x14ac:dyDescent="0.2">
      <c r="A149" s="628" t="s">
        <v>8</v>
      </c>
      <c r="B149" s="629"/>
      <c r="C149" s="630"/>
      <c r="D149" s="154"/>
      <c r="F149" s="159">
        <v>581232.79000000015</v>
      </c>
      <c r="G149" s="159">
        <v>519447.92000000004</v>
      </c>
      <c r="H149" s="159">
        <v>61784.869999999988</v>
      </c>
      <c r="I149" s="252"/>
      <c r="J149" s="159">
        <v>105609.51048374921</v>
      </c>
      <c r="K149" s="159">
        <v>105609.51048374921</v>
      </c>
      <c r="L149" s="159">
        <v>0</v>
      </c>
      <c r="M149" s="252"/>
      <c r="N149" s="159">
        <v>73943.329999999958</v>
      </c>
      <c r="O149" s="159">
        <v>72615.859999999957</v>
      </c>
      <c r="P149" s="159">
        <v>1327.47</v>
      </c>
      <c r="Q149" s="252"/>
      <c r="R149" s="159">
        <v>22807.800000000003</v>
      </c>
      <c r="S149" s="159">
        <v>21259.11</v>
      </c>
      <c r="T149" s="159">
        <v>1548.69</v>
      </c>
      <c r="V149" s="159">
        <f>F149+K149+N149+R149</f>
        <v>783593.43048374937</v>
      </c>
      <c r="W149" s="159">
        <f>G149+K149+O149+S149</f>
        <v>718932.40048374922</v>
      </c>
      <c r="X149" s="159">
        <f>H149+L149+P149+T149</f>
        <v>64661.029999999992</v>
      </c>
      <c r="Y149" s="163">
        <v>0.91832116615965342</v>
      </c>
      <c r="Z149" s="253">
        <f>F149+K149</f>
        <v>686842.30048374936</v>
      </c>
      <c r="AA149" s="251"/>
      <c r="AB149" s="255">
        <f>(Z135*1000)/'[1]App 2-Totals'!H9/52</f>
        <v>4.5745957344279935</v>
      </c>
      <c r="AC149" s="256"/>
      <c r="AD149" s="256"/>
      <c r="AE149" s="251"/>
      <c r="AH149" s="172"/>
      <c r="AI149" s="172"/>
      <c r="AJ149" s="172"/>
      <c r="AL149" s="172"/>
    </row>
    <row r="150" spans="1:38" s="153" customFormat="1" ht="11.25" x14ac:dyDescent="0.2">
      <c r="B150" s="252" t="s">
        <v>570</v>
      </c>
      <c r="D150" s="154"/>
      <c r="F150" s="157"/>
      <c r="G150" s="157"/>
      <c r="H150" s="156"/>
      <c r="J150" s="157"/>
      <c r="K150" s="157"/>
      <c r="L150" s="157"/>
      <c r="N150" s="157"/>
      <c r="O150" s="157"/>
      <c r="P150" s="157"/>
      <c r="R150" s="157"/>
      <c r="S150" s="157"/>
      <c r="T150" s="157"/>
      <c r="V150" s="125"/>
      <c r="W150" s="125"/>
      <c r="X150" s="125"/>
      <c r="Z150" s="165"/>
      <c r="AA150" s="251"/>
      <c r="AB150" s="165"/>
      <c r="AC150" s="165"/>
      <c r="AD150" s="165"/>
      <c r="AE150" s="251"/>
      <c r="AL150" s="172"/>
    </row>
    <row r="151" spans="1:38" s="153" customFormat="1" ht="15" customHeight="1" x14ac:dyDescent="0.2">
      <c r="A151" s="624" t="s">
        <v>9</v>
      </c>
      <c r="B151" s="624"/>
      <c r="C151" s="624"/>
      <c r="D151" s="166"/>
      <c r="E151" s="166">
        <f>SUMIF($D$5:$D$132,"S",E$5:E$132)</f>
        <v>0</v>
      </c>
      <c r="F151" s="166">
        <v>316013.97000000003</v>
      </c>
      <c r="G151" s="166">
        <v>278026.95</v>
      </c>
      <c r="H151" s="166">
        <v>37987.020000000004</v>
      </c>
      <c r="J151" s="166">
        <v>47464.050799350116</v>
      </c>
      <c r="K151" s="166">
        <v>47464.050799350116</v>
      </c>
      <c r="L151" s="166">
        <v>0</v>
      </c>
      <c r="N151" s="166">
        <v>2178.4899999999998</v>
      </c>
      <c r="O151" s="166">
        <v>2155.0899999999997</v>
      </c>
      <c r="P151" s="166">
        <v>23.400000000000002</v>
      </c>
      <c r="R151" s="166">
        <v>17297.300000000003</v>
      </c>
      <c r="S151" s="166">
        <v>15752.750000000002</v>
      </c>
      <c r="T151" s="166">
        <v>1544.55</v>
      </c>
      <c r="V151" s="166">
        <f t="shared" ref="V151:V154" si="6">F151+K151+N151+R151</f>
        <v>382953.81079935015</v>
      </c>
      <c r="W151" s="166">
        <f t="shared" ref="W151:X154" si="7">G151+K151+O151+S151</f>
        <v>343398.84079935018</v>
      </c>
      <c r="X151" s="166">
        <f t="shared" si="7"/>
        <v>39554.970000000008</v>
      </c>
      <c r="Y151" s="163"/>
      <c r="Z151" s="166">
        <f>F151+K151</f>
        <v>363478.02079935017</v>
      </c>
      <c r="AA151" s="251"/>
      <c r="AB151" s="256"/>
      <c r="AC151" s="256"/>
      <c r="AD151" s="256"/>
      <c r="AE151" s="251"/>
      <c r="AF151" s="172"/>
      <c r="AG151" s="172"/>
      <c r="AH151" s="172"/>
      <c r="AI151" s="172"/>
      <c r="AJ151" s="172"/>
      <c r="AL151" s="172"/>
    </row>
    <row r="152" spans="1:38" s="153" customFormat="1" ht="15" customHeight="1" x14ac:dyDescent="0.2">
      <c r="A152" s="624" t="s">
        <v>10</v>
      </c>
      <c r="B152" s="624"/>
      <c r="C152" s="624"/>
      <c r="D152" s="254"/>
      <c r="E152" s="165"/>
      <c r="F152" s="166">
        <v>122256.95999999999</v>
      </c>
      <c r="G152" s="166">
        <v>113772.66999999998</v>
      </c>
      <c r="H152" s="166">
        <v>8484.2900000000009</v>
      </c>
      <c r="J152" s="166">
        <v>23168.060662724045</v>
      </c>
      <c r="K152" s="166">
        <v>23168.060662724045</v>
      </c>
      <c r="L152" s="166">
        <v>0</v>
      </c>
      <c r="N152" s="166">
        <v>20151.189999999999</v>
      </c>
      <c r="O152" s="166">
        <v>20112.399999999998</v>
      </c>
      <c r="P152" s="166">
        <v>38.79</v>
      </c>
      <c r="R152" s="166">
        <v>2486.4700000000003</v>
      </c>
      <c r="S152" s="166">
        <v>2484.33</v>
      </c>
      <c r="T152" s="166">
        <v>2.14</v>
      </c>
      <c r="V152" s="166">
        <f t="shared" si="6"/>
        <v>168062.68066272404</v>
      </c>
      <c r="W152" s="166">
        <f t="shared" si="7"/>
        <v>159537.46066272401</v>
      </c>
      <c r="X152" s="166">
        <f t="shared" si="7"/>
        <v>8525.2200000000012</v>
      </c>
      <c r="Y152" s="163"/>
      <c r="Z152" s="166">
        <f t="shared" ref="Z152:Z153" si="8">F152+K152</f>
        <v>145425.02066272404</v>
      </c>
      <c r="AA152" s="251"/>
      <c r="AB152" s="165"/>
      <c r="AC152" s="165"/>
      <c r="AD152" s="165"/>
      <c r="AE152" s="251"/>
      <c r="AH152" s="172"/>
      <c r="AI152" s="172"/>
      <c r="AJ152" s="172"/>
      <c r="AL152" s="172"/>
    </row>
    <row r="153" spans="1:38" s="153" customFormat="1" ht="15" customHeight="1" x14ac:dyDescent="0.2">
      <c r="A153" s="624" t="s">
        <v>11</v>
      </c>
      <c r="B153" s="624"/>
      <c r="C153" s="624"/>
      <c r="D153" s="254"/>
      <c r="E153" s="165"/>
      <c r="F153" s="166">
        <v>76086.569999999992</v>
      </c>
      <c r="G153" s="166">
        <v>68724.460000000006</v>
      </c>
      <c r="H153" s="166">
        <v>7362.11</v>
      </c>
      <c r="J153" s="166">
        <v>13877.119464990235</v>
      </c>
      <c r="K153" s="166">
        <v>13877.119464990235</v>
      </c>
      <c r="L153" s="166">
        <v>0</v>
      </c>
      <c r="N153" s="166">
        <v>26648.080000000002</v>
      </c>
      <c r="O153" s="166">
        <v>26643.280000000006</v>
      </c>
      <c r="P153" s="166">
        <v>4.8</v>
      </c>
      <c r="R153" s="166">
        <v>1847.77</v>
      </c>
      <c r="S153" s="166">
        <v>1847.77</v>
      </c>
      <c r="T153" s="166">
        <v>0</v>
      </c>
      <c r="V153" s="166">
        <f t="shared" si="6"/>
        <v>118459.53946499023</v>
      </c>
      <c r="W153" s="166">
        <f t="shared" si="7"/>
        <v>111092.62946499024</v>
      </c>
      <c r="X153" s="166">
        <f t="shared" si="7"/>
        <v>7366.91</v>
      </c>
      <c r="Y153" s="163"/>
      <c r="Z153" s="166">
        <f t="shared" si="8"/>
        <v>89963.689464990224</v>
      </c>
      <c r="AA153" s="251"/>
      <c r="AB153" s="256"/>
      <c r="AC153" s="256"/>
      <c r="AD153" s="256"/>
      <c r="AE153" s="251"/>
      <c r="AH153" s="172"/>
      <c r="AI153" s="172"/>
      <c r="AJ153" s="172"/>
      <c r="AL153" s="172"/>
    </row>
    <row r="154" spans="1:38" s="153" customFormat="1" ht="15" customHeight="1" x14ac:dyDescent="0.2">
      <c r="A154" s="624" t="s">
        <v>12</v>
      </c>
      <c r="B154" s="624"/>
      <c r="C154" s="624"/>
      <c r="D154" s="254"/>
      <c r="E154" s="165"/>
      <c r="F154" s="166">
        <v>66875.289999999994</v>
      </c>
      <c r="G154" s="166">
        <v>58923.839999999989</v>
      </c>
      <c r="H154" s="166">
        <v>7951.4500000000007</v>
      </c>
      <c r="J154" s="166">
        <v>21100.279556684753</v>
      </c>
      <c r="K154" s="166">
        <v>21100.279556684753</v>
      </c>
      <c r="L154" s="166">
        <v>0</v>
      </c>
      <c r="N154" s="166">
        <v>24965.570000000003</v>
      </c>
      <c r="O154" s="166">
        <v>23705.09</v>
      </c>
      <c r="P154" s="166">
        <v>1260.48</v>
      </c>
      <c r="R154" s="166">
        <v>1176.2599999999998</v>
      </c>
      <c r="S154" s="166">
        <v>1174.2599999999998</v>
      </c>
      <c r="T154" s="166">
        <v>2</v>
      </c>
      <c r="V154" s="166">
        <f t="shared" si="6"/>
        <v>114117.39955668474</v>
      </c>
      <c r="W154" s="166">
        <f t="shared" si="7"/>
        <v>104903.46955668474</v>
      </c>
      <c r="X154" s="166">
        <f t="shared" si="7"/>
        <v>9213.93</v>
      </c>
      <c r="Y154" s="163"/>
      <c r="Z154" s="166">
        <f>F154+K154</f>
        <v>87975.569556684743</v>
      </c>
      <c r="AA154" s="251"/>
      <c r="AB154" s="257"/>
      <c r="AC154" s="165"/>
      <c r="AD154" s="165"/>
      <c r="AE154" s="251"/>
      <c r="AH154" s="172"/>
      <c r="AI154" s="172"/>
      <c r="AJ154" s="172"/>
      <c r="AL154" s="172"/>
    </row>
    <row r="155" spans="1:38" s="153" customFormat="1" ht="15" customHeight="1" x14ac:dyDescent="0.2">
      <c r="A155" s="112"/>
      <c r="B155" s="112"/>
      <c r="C155" s="112"/>
      <c r="D155" s="254"/>
      <c r="E155" s="165"/>
      <c r="F155" s="170"/>
      <c r="G155" s="170"/>
      <c r="H155" s="170"/>
      <c r="J155" s="170"/>
      <c r="K155" s="170"/>
      <c r="L155" s="170"/>
      <c r="N155" s="170"/>
      <c r="O155" s="170"/>
      <c r="P155" s="170"/>
      <c r="R155" s="170"/>
      <c r="S155" s="170"/>
      <c r="T155" s="170"/>
      <c r="V155" s="170"/>
      <c r="W155" s="170"/>
      <c r="X155" s="170"/>
      <c r="Y155" s="163"/>
      <c r="Z155" s="172"/>
      <c r="AA155" s="251"/>
      <c r="AB155" s="256"/>
      <c r="AC155" s="256"/>
      <c r="AD155" s="256"/>
      <c r="AE155" s="251"/>
      <c r="AH155" s="172"/>
      <c r="AI155" s="172"/>
      <c r="AJ155" s="172"/>
    </row>
    <row r="156" spans="1:38" s="153" customFormat="1" ht="15" customHeight="1" x14ac:dyDescent="0.2">
      <c r="A156" s="654" t="s">
        <v>8</v>
      </c>
      <c r="B156" s="655"/>
      <c r="C156" s="656"/>
      <c r="D156" s="258"/>
      <c r="E156" s="259"/>
      <c r="F156" s="260">
        <v>638651.42999999982</v>
      </c>
      <c r="G156" s="260">
        <v>583170.20000000007</v>
      </c>
      <c r="H156" s="260">
        <v>55481.230000000018</v>
      </c>
      <c r="I156" s="261"/>
      <c r="J156" s="260">
        <v>33060.732277269788</v>
      </c>
      <c r="K156" s="260">
        <v>33060.732277269788</v>
      </c>
      <c r="L156" s="260">
        <v>0</v>
      </c>
      <c r="M156" s="261"/>
      <c r="N156" s="260">
        <v>84709.35</v>
      </c>
      <c r="O156" s="260">
        <v>82629.62999999999</v>
      </c>
      <c r="P156" s="260">
        <v>2079.7200000000003</v>
      </c>
      <c r="Q156" s="261"/>
      <c r="R156" s="260">
        <v>22391.050000000003</v>
      </c>
      <c r="S156" s="260">
        <v>18259.219999999998</v>
      </c>
      <c r="T156" s="260">
        <v>4131.83</v>
      </c>
      <c r="U156" s="259"/>
      <c r="V156" s="260">
        <v>782031.89527726988</v>
      </c>
      <c r="W156" s="260">
        <v>720045.88527726964</v>
      </c>
      <c r="X156" s="260">
        <v>61986.01</v>
      </c>
      <c r="Y156" s="262">
        <v>0.92073723543203689</v>
      </c>
      <c r="Z156" s="185">
        <v>671712.16227726964</v>
      </c>
      <c r="AA156" s="163"/>
      <c r="AB156" s="165"/>
      <c r="AC156" s="165"/>
      <c r="AD156" s="165"/>
      <c r="AE156" s="251"/>
      <c r="AH156" s="172"/>
      <c r="AI156" s="172"/>
      <c r="AJ156" s="172"/>
    </row>
    <row r="157" spans="1:38" s="153" customFormat="1" ht="15" customHeight="1" x14ac:dyDescent="0.2">
      <c r="A157" s="259"/>
      <c r="B157" s="259" t="s">
        <v>571</v>
      </c>
      <c r="C157" s="259"/>
      <c r="D157" s="258"/>
      <c r="E157" s="259"/>
      <c r="F157" s="263"/>
      <c r="G157" s="263"/>
      <c r="H157" s="264"/>
      <c r="I157" s="259"/>
      <c r="J157" s="263"/>
      <c r="K157" s="263"/>
      <c r="L157" s="263"/>
      <c r="M157" s="259"/>
      <c r="N157" s="263"/>
      <c r="O157" s="263"/>
      <c r="P157" s="263"/>
      <c r="Q157" s="259"/>
      <c r="R157" s="263"/>
      <c r="S157" s="263"/>
      <c r="T157" s="263"/>
      <c r="U157" s="259"/>
      <c r="V157" s="265"/>
      <c r="W157" s="265"/>
      <c r="X157" s="265"/>
      <c r="Y157" s="259"/>
      <c r="Z157" s="266"/>
      <c r="AA157" s="172"/>
      <c r="AB157" s="256"/>
      <c r="AC157" s="256"/>
      <c r="AD157" s="256"/>
      <c r="AE157" s="172"/>
      <c r="AF157" s="172"/>
      <c r="AH157" s="172"/>
      <c r="AI157" s="172"/>
      <c r="AJ157" s="172"/>
    </row>
    <row r="158" spans="1:38" s="153" customFormat="1" ht="15" customHeight="1" x14ac:dyDescent="0.2">
      <c r="A158" s="653" t="s">
        <v>9</v>
      </c>
      <c r="B158" s="653"/>
      <c r="C158" s="653"/>
      <c r="D158" s="267"/>
      <c r="E158" s="267">
        <f>SUMIF($D$5:$D$132,"S",E$5:E$132)</f>
        <v>0</v>
      </c>
      <c r="F158" s="267">
        <v>343629.62</v>
      </c>
      <c r="G158" s="267">
        <v>312280.62</v>
      </c>
      <c r="H158" s="267">
        <v>31349</v>
      </c>
      <c r="I158" s="259"/>
      <c r="J158" s="267">
        <v>11202.143744571043</v>
      </c>
      <c r="K158" s="267">
        <v>11202.143744571043</v>
      </c>
      <c r="L158" s="267">
        <v>0</v>
      </c>
      <c r="M158" s="259"/>
      <c r="N158" s="267">
        <v>1765.69</v>
      </c>
      <c r="O158" s="267">
        <v>1749.68</v>
      </c>
      <c r="P158" s="267">
        <v>16.009999999999998</v>
      </c>
      <c r="Q158" s="259"/>
      <c r="R158" s="267">
        <v>17788.87</v>
      </c>
      <c r="S158" s="267">
        <v>13982.51</v>
      </c>
      <c r="T158" s="267">
        <v>3806.36</v>
      </c>
      <c r="U158" s="259"/>
      <c r="V158" s="267">
        <v>375061.18374457106</v>
      </c>
      <c r="W158" s="267">
        <v>339864.84374457109</v>
      </c>
      <c r="X158" s="267">
        <v>35196.339999999997</v>
      </c>
      <c r="Y158" s="262"/>
      <c r="Z158" s="266">
        <v>354831.76374457101</v>
      </c>
      <c r="AA158" s="172"/>
      <c r="AB158" s="165"/>
      <c r="AC158" s="165"/>
      <c r="AD158" s="165"/>
      <c r="AE158" s="172"/>
      <c r="AF158" s="172"/>
      <c r="AH158" s="172"/>
      <c r="AI158" s="172"/>
      <c r="AJ158" s="172"/>
    </row>
    <row r="159" spans="1:38" s="153" customFormat="1" ht="15" customHeight="1" x14ac:dyDescent="0.2">
      <c r="A159" s="653" t="s">
        <v>10</v>
      </c>
      <c r="B159" s="653"/>
      <c r="C159" s="653"/>
      <c r="D159" s="268"/>
      <c r="E159" s="269"/>
      <c r="F159" s="267">
        <v>135914.96</v>
      </c>
      <c r="G159" s="267">
        <v>127634.14000000001</v>
      </c>
      <c r="H159" s="267">
        <v>8280.82</v>
      </c>
      <c r="I159" s="259"/>
      <c r="J159" s="267">
        <v>8104.2988676980576</v>
      </c>
      <c r="K159" s="267">
        <v>8104.2988676980576</v>
      </c>
      <c r="L159" s="267">
        <v>0</v>
      </c>
      <c r="M159" s="259"/>
      <c r="N159" s="267">
        <v>24169.690000000002</v>
      </c>
      <c r="O159" s="267">
        <v>23556.980000000003</v>
      </c>
      <c r="P159" s="267">
        <v>612.71</v>
      </c>
      <c r="Q159" s="259"/>
      <c r="R159" s="267">
        <v>1924.21</v>
      </c>
      <c r="S159" s="267">
        <v>1922.3100000000002</v>
      </c>
      <c r="T159" s="267">
        <v>1.9</v>
      </c>
      <c r="U159" s="259"/>
      <c r="V159" s="267">
        <v>170685.48886769806</v>
      </c>
      <c r="W159" s="267">
        <v>161711.05886769807</v>
      </c>
      <c r="X159" s="267">
        <v>8974.43</v>
      </c>
      <c r="Y159" s="262"/>
      <c r="Z159" s="266">
        <v>144019.25886769805</v>
      </c>
      <c r="AA159" s="172"/>
      <c r="AB159" s="256"/>
      <c r="AC159" s="256"/>
      <c r="AD159" s="256"/>
      <c r="AE159" s="172"/>
      <c r="AF159" s="172"/>
      <c r="AH159" s="172"/>
      <c r="AI159" s="172"/>
      <c r="AJ159" s="172"/>
    </row>
    <row r="160" spans="1:38" s="153" customFormat="1" ht="15" customHeight="1" x14ac:dyDescent="0.2">
      <c r="A160" s="653" t="s">
        <v>11</v>
      </c>
      <c r="B160" s="653"/>
      <c r="C160" s="653"/>
      <c r="D160" s="268"/>
      <c r="E160" s="269"/>
      <c r="F160" s="267">
        <v>87063.7</v>
      </c>
      <c r="G160" s="267">
        <v>79622.12</v>
      </c>
      <c r="H160" s="267">
        <v>7441.58</v>
      </c>
      <c r="I160" s="259"/>
      <c r="J160" s="267">
        <v>5206.2136774979663</v>
      </c>
      <c r="K160" s="267">
        <v>5206.2136774979663</v>
      </c>
      <c r="L160" s="267">
        <v>0</v>
      </c>
      <c r="M160" s="259"/>
      <c r="N160" s="267">
        <v>24991.94</v>
      </c>
      <c r="O160" s="267">
        <v>24510.059999999998</v>
      </c>
      <c r="P160" s="267">
        <v>481.88000000000005</v>
      </c>
      <c r="Q160" s="259"/>
      <c r="R160" s="267">
        <v>1482.1899999999998</v>
      </c>
      <c r="S160" s="267">
        <v>1191.6399999999999</v>
      </c>
      <c r="T160" s="267">
        <v>290.55</v>
      </c>
      <c r="U160" s="259"/>
      <c r="V160" s="267">
        <v>119407.59367749795</v>
      </c>
      <c r="W160" s="267">
        <v>111134.643677498</v>
      </c>
      <c r="X160" s="267">
        <v>8272.9500000000007</v>
      </c>
      <c r="Y160" s="262"/>
      <c r="Z160" s="266">
        <v>92269.913677497971</v>
      </c>
      <c r="AA160" s="172"/>
      <c r="AB160" s="165"/>
      <c r="AC160" s="165"/>
      <c r="AD160" s="165"/>
      <c r="AE160" s="172"/>
      <c r="AF160" s="172"/>
      <c r="AH160" s="172"/>
      <c r="AI160" s="172"/>
      <c r="AJ160" s="172"/>
    </row>
    <row r="161" spans="1:36" s="153" customFormat="1" ht="15" customHeight="1" x14ac:dyDescent="0.2">
      <c r="A161" s="653" t="s">
        <v>12</v>
      </c>
      <c r="B161" s="653"/>
      <c r="C161" s="653"/>
      <c r="D161" s="268"/>
      <c r="E161" s="269"/>
      <c r="F161" s="267">
        <v>72043.149999999994</v>
      </c>
      <c r="G161" s="267">
        <v>63633.319999999992</v>
      </c>
      <c r="H161" s="267">
        <v>8409.83</v>
      </c>
      <c r="I161" s="259"/>
      <c r="J161" s="267">
        <v>8548.0759875027288</v>
      </c>
      <c r="K161" s="267">
        <v>8548.0759875027288</v>
      </c>
      <c r="L161" s="267">
        <v>0</v>
      </c>
      <c r="M161" s="259"/>
      <c r="N161" s="267">
        <v>33782.029999999992</v>
      </c>
      <c r="O161" s="267">
        <v>32812.909999999996</v>
      </c>
      <c r="P161" s="267">
        <v>969.11999999999978</v>
      </c>
      <c r="Q161" s="259"/>
      <c r="R161" s="267">
        <v>1195.78</v>
      </c>
      <c r="S161" s="267">
        <v>1162.76</v>
      </c>
      <c r="T161" s="267">
        <v>33.019999999999996</v>
      </c>
      <c r="U161" s="259"/>
      <c r="V161" s="267">
        <v>116877.62898750273</v>
      </c>
      <c r="W161" s="267">
        <v>107335.33898750271</v>
      </c>
      <c r="X161" s="267">
        <v>9542.2899999999991</v>
      </c>
      <c r="Y161" s="262"/>
      <c r="Z161" s="266">
        <v>80591.225987502723</v>
      </c>
      <c r="AA161" s="172"/>
      <c r="AB161" s="256"/>
      <c r="AC161" s="256"/>
      <c r="AD161" s="256"/>
      <c r="AE161" s="172"/>
      <c r="AF161" s="172"/>
      <c r="AH161" s="172"/>
      <c r="AI161" s="172"/>
      <c r="AJ161" s="172"/>
    </row>
    <row r="162" spans="1:36" s="153" customFormat="1" ht="15" customHeight="1" x14ac:dyDescent="0.2">
      <c r="A162" s="112"/>
      <c r="B162" s="112"/>
      <c r="C162" s="112"/>
      <c r="D162" s="254"/>
      <c r="E162" s="165"/>
      <c r="F162" s="170"/>
      <c r="G162" s="170"/>
      <c r="H162" s="171"/>
      <c r="J162" s="170"/>
      <c r="K162" s="170"/>
      <c r="L162" s="170"/>
      <c r="N162" s="270"/>
      <c r="O162" s="170"/>
      <c r="P162" s="170"/>
      <c r="R162" s="270"/>
      <c r="S162" s="170"/>
      <c r="T162" s="170"/>
      <c r="V162" s="170"/>
      <c r="W162" s="170"/>
      <c r="X162" s="170"/>
      <c r="Y162" s="163"/>
      <c r="AB162" s="165"/>
      <c r="AC162" s="165"/>
      <c r="AD162" s="165"/>
    </row>
    <row r="163" spans="1:36" s="153" customFormat="1" ht="15" customHeight="1" x14ac:dyDescent="0.2">
      <c r="A163" s="625" t="s">
        <v>8</v>
      </c>
      <c r="B163" s="626"/>
      <c r="C163" s="627"/>
      <c r="D163" s="183"/>
      <c r="E163" s="184"/>
      <c r="F163" s="185">
        <v>679059.34999999986</v>
      </c>
      <c r="G163" s="185">
        <v>618467.11</v>
      </c>
      <c r="H163" s="185">
        <v>60592.240000000027</v>
      </c>
      <c r="I163" s="271"/>
      <c r="J163" s="185"/>
      <c r="K163" s="185"/>
      <c r="L163" s="185"/>
      <c r="M163" s="271"/>
      <c r="N163" s="185">
        <v>95076.189999999988</v>
      </c>
      <c r="O163" s="185">
        <v>93873.680000000037</v>
      </c>
      <c r="P163" s="185">
        <v>1202.51</v>
      </c>
      <c r="Q163" s="271"/>
      <c r="R163" s="185">
        <v>30053.54</v>
      </c>
      <c r="S163" s="185">
        <v>26307.129999999997</v>
      </c>
      <c r="T163" s="185">
        <v>3746.41</v>
      </c>
      <c r="U163" s="185"/>
      <c r="V163" s="185">
        <v>804189.07999999984</v>
      </c>
      <c r="W163" s="185">
        <v>738647.92000000027</v>
      </c>
      <c r="X163" s="185">
        <v>65541.16</v>
      </c>
      <c r="Y163" s="163"/>
      <c r="AB163" s="256"/>
      <c r="AC163" s="256"/>
      <c r="AD163" s="256"/>
    </row>
    <row r="164" spans="1:36" s="153" customFormat="1" ht="15" customHeight="1" x14ac:dyDescent="0.2">
      <c r="A164" s="184"/>
      <c r="B164" s="184" t="s">
        <v>572</v>
      </c>
      <c r="C164" s="184"/>
      <c r="D164" s="183"/>
      <c r="E164" s="184"/>
      <c r="F164" s="272"/>
      <c r="G164" s="272"/>
      <c r="H164" s="188"/>
      <c r="I164" s="184"/>
      <c r="J164" s="272"/>
      <c r="K164" s="272"/>
      <c r="L164" s="272"/>
      <c r="M164" s="184"/>
      <c r="N164" s="272"/>
      <c r="O164" s="272"/>
      <c r="P164" s="272"/>
      <c r="Q164" s="184"/>
      <c r="R164" s="272"/>
      <c r="S164" s="272"/>
      <c r="T164" s="272"/>
      <c r="U164" s="272"/>
      <c r="V164" s="272"/>
      <c r="W164" s="272"/>
      <c r="X164" s="272"/>
      <c r="Y164" s="163"/>
      <c r="Z164" s="172"/>
      <c r="AB164" s="165"/>
      <c r="AC164" s="165"/>
      <c r="AD164" s="165"/>
    </row>
    <row r="165" spans="1:36" s="153" customFormat="1" ht="15" customHeight="1" x14ac:dyDescent="0.2">
      <c r="A165" s="616" t="s">
        <v>9</v>
      </c>
      <c r="B165" s="616"/>
      <c r="C165" s="616"/>
      <c r="D165" s="191"/>
      <c r="E165" s="191">
        <f>SUMIF($D$5:$D$132,"S",E$5:E$132)</f>
        <v>0</v>
      </c>
      <c r="F165" s="191">
        <v>368293.99999999994</v>
      </c>
      <c r="G165" s="191">
        <v>329597.11</v>
      </c>
      <c r="H165" s="191">
        <v>38696.89</v>
      </c>
      <c r="I165" s="184"/>
      <c r="J165" s="191"/>
      <c r="K165" s="191"/>
      <c r="L165" s="191"/>
      <c r="M165" s="184"/>
      <c r="N165" s="191">
        <v>1955.14</v>
      </c>
      <c r="O165" s="191">
        <v>1951.45</v>
      </c>
      <c r="P165" s="191">
        <v>3.69</v>
      </c>
      <c r="Q165" s="184"/>
      <c r="R165" s="191">
        <v>26630.980000000003</v>
      </c>
      <c r="S165" s="191">
        <v>22885.57</v>
      </c>
      <c r="T165" s="191">
        <v>3745.41</v>
      </c>
      <c r="U165" s="191"/>
      <c r="V165" s="191">
        <v>396880.12</v>
      </c>
      <c r="W165" s="191">
        <v>354434.13</v>
      </c>
      <c r="X165" s="191">
        <v>42445.990000000005</v>
      </c>
      <c r="Y165" s="163"/>
      <c r="AA165" s="172"/>
      <c r="AB165" s="256"/>
      <c r="AC165" s="256"/>
      <c r="AD165" s="256"/>
      <c r="AE165" s="172"/>
    </row>
    <row r="166" spans="1:36" s="153" customFormat="1" ht="15" customHeight="1" x14ac:dyDescent="0.2">
      <c r="A166" s="616" t="s">
        <v>10</v>
      </c>
      <c r="B166" s="616"/>
      <c r="C166" s="616"/>
      <c r="D166" s="273"/>
      <c r="E166" s="190"/>
      <c r="F166" s="191">
        <v>144971.00999999998</v>
      </c>
      <c r="G166" s="191">
        <v>136467.85999999999</v>
      </c>
      <c r="H166" s="191">
        <v>8503.15</v>
      </c>
      <c r="I166" s="184"/>
      <c r="J166" s="191"/>
      <c r="K166" s="191"/>
      <c r="L166" s="191"/>
      <c r="M166" s="184"/>
      <c r="N166" s="191">
        <v>25069.039999999997</v>
      </c>
      <c r="O166" s="191">
        <v>24918.93</v>
      </c>
      <c r="P166" s="191">
        <v>150.11000000000001</v>
      </c>
      <c r="Q166" s="184"/>
      <c r="R166" s="191">
        <v>1283.6400000000001</v>
      </c>
      <c r="S166" s="191">
        <v>1282.6400000000001</v>
      </c>
      <c r="T166" s="191">
        <v>1</v>
      </c>
      <c r="U166" s="191"/>
      <c r="V166" s="191">
        <v>171323.69</v>
      </c>
      <c r="W166" s="191">
        <v>162669.43</v>
      </c>
      <c r="X166" s="191">
        <v>8654.26</v>
      </c>
      <c r="Y166" s="163"/>
      <c r="AB166" s="165"/>
      <c r="AC166" s="165"/>
      <c r="AD166" s="165"/>
    </row>
    <row r="167" spans="1:36" s="153" customFormat="1" ht="15" customHeight="1" x14ac:dyDescent="0.2">
      <c r="A167" s="616" t="s">
        <v>11</v>
      </c>
      <c r="B167" s="616"/>
      <c r="C167" s="616"/>
      <c r="D167" s="273"/>
      <c r="E167" s="190"/>
      <c r="F167" s="191">
        <v>89213.52</v>
      </c>
      <c r="G167" s="191">
        <v>83204.26999999999</v>
      </c>
      <c r="H167" s="191">
        <v>6009.25</v>
      </c>
      <c r="I167" s="184"/>
      <c r="J167" s="191"/>
      <c r="K167" s="191"/>
      <c r="L167" s="191"/>
      <c r="M167" s="184"/>
      <c r="N167" s="191">
        <v>35790.200000000004</v>
      </c>
      <c r="O167" s="191">
        <v>35652.920000000006</v>
      </c>
      <c r="P167" s="191">
        <v>137.28</v>
      </c>
      <c r="Q167" s="184"/>
      <c r="R167" s="191">
        <v>1263.45</v>
      </c>
      <c r="S167" s="191">
        <v>1263.45</v>
      </c>
      <c r="T167" s="191">
        <v>0</v>
      </c>
      <c r="U167" s="191"/>
      <c r="V167" s="191">
        <v>126267.17000000001</v>
      </c>
      <c r="W167" s="191">
        <v>120120.63999999998</v>
      </c>
      <c r="X167" s="191">
        <v>6146.5300000000007</v>
      </c>
      <c r="Y167" s="163"/>
    </row>
    <row r="168" spans="1:36" s="153" customFormat="1" ht="15" customHeight="1" x14ac:dyDescent="0.2">
      <c r="A168" s="616" t="s">
        <v>12</v>
      </c>
      <c r="B168" s="616"/>
      <c r="C168" s="616"/>
      <c r="D168" s="273"/>
      <c r="E168" s="190"/>
      <c r="F168" s="191">
        <v>76580.820000000007</v>
      </c>
      <c r="G168" s="191">
        <v>69197.87</v>
      </c>
      <c r="H168" s="191">
        <v>7382.95</v>
      </c>
      <c r="I168" s="184"/>
      <c r="J168" s="191"/>
      <c r="K168" s="191"/>
      <c r="L168" s="191"/>
      <c r="M168" s="184"/>
      <c r="N168" s="191">
        <v>32261.810000000009</v>
      </c>
      <c r="O168" s="191">
        <v>31350.38</v>
      </c>
      <c r="P168" s="191">
        <v>911.43</v>
      </c>
      <c r="Q168" s="184"/>
      <c r="R168" s="191">
        <v>875.47</v>
      </c>
      <c r="S168" s="191">
        <v>875.47</v>
      </c>
      <c r="T168" s="191">
        <v>0</v>
      </c>
      <c r="U168" s="191"/>
      <c r="V168" s="191">
        <v>109718.09999999999</v>
      </c>
      <c r="W168" s="191">
        <v>101423.72000000003</v>
      </c>
      <c r="X168" s="191">
        <v>8294.3800000000028</v>
      </c>
      <c r="Y168" s="163"/>
    </row>
    <row r="169" spans="1:36" s="153" customFormat="1" ht="15" customHeight="1" x14ac:dyDescent="0.2">
      <c r="A169" s="112"/>
      <c r="B169" s="112"/>
      <c r="C169" s="112"/>
      <c r="D169" s="254"/>
      <c r="E169" s="165"/>
      <c r="F169" s="170"/>
      <c r="G169" s="170"/>
      <c r="H169" s="170"/>
      <c r="J169" s="170"/>
      <c r="K169" s="170"/>
      <c r="L169" s="170"/>
      <c r="N169" s="170"/>
      <c r="O169" s="170"/>
      <c r="P169" s="170"/>
      <c r="R169" s="170"/>
      <c r="S169" s="170"/>
      <c r="T169" s="170"/>
      <c r="U169" s="170"/>
      <c r="V169" s="170"/>
      <c r="W169" s="170"/>
      <c r="X169" s="170"/>
      <c r="Y169" s="163"/>
    </row>
    <row r="170" spans="1:36" x14ac:dyDescent="0.2">
      <c r="A170" s="617" t="s">
        <v>8</v>
      </c>
      <c r="B170" s="618"/>
      <c r="C170" s="619"/>
      <c r="D170" s="193"/>
      <c r="E170" s="194"/>
      <c r="F170" s="195">
        <v>685540.0199999999</v>
      </c>
      <c r="G170" s="195">
        <v>627683.69000000006</v>
      </c>
      <c r="H170" s="195">
        <v>57856.330000000024</v>
      </c>
      <c r="I170" s="274"/>
      <c r="J170" s="195"/>
      <c r="K170" s="195"/>
      <c r="L170" s="195"/>
      <c r="M170" s="274"/>
      <c r="N170" s="195">
        <v>107087.28600000004</v>
      </c>
      <c r="O170" s="195">
        <v>97722.436000000031</v>
      </c>
      <c r="P170" s="195">
        <v>9364.8499999999985</v>
      </c>
      <c r="Q170" s="274"/>
      <c r="R170" s="195">
        <v>17771.319999999996</v>
      </c>
      <c r="S170" s="195">
        <v>17615.439999999995</v>
      </c>
      <c r="T170" s="195">
        <v>155.88</v>
      </c>
      <c r="U170" s="195"/>
      <c r="V170" s="195">
        <v>810398.62600000005</v>
      </c>
      <c r="W170" s="195">
        <v>743021.56599999999</v>
      </c>
      <c r="X170" s="195">
        <v>67377.060000000027</v>
      </c>
    </row>
    <row r="171" spans="1:36" s="153" customFormat="1" ht="15" customHeight="1" x14ac:dyDescent="0.2">
      <c r="A171" s="194"/>
      <c r="B171" s="194" t="s">
        <v>573</v>
      </c>
      <c r="C171" s="194"/>
      <c r="D171" s="193"/>
      <c r="E171" s="194"/>
      <c r="F171" s="275"/>
      <c r="G171" s="275"/>
      <c r="H171" s="198"/>
      <c r="I171" s="194"/>
      <c r="J171" s="275"/>
      <c r="K171" s="275"/>
      <c r="L171" s="275"/>
      <c r="M171" s="194"/>
      <c r="N171" s="275"/>
      <c r="O171" s="275"/>
      <c r="P171" s="275"/>
      <c r="Q171" s="194"/>
      <c r="R171" s="275"/>
      <c r="S171" s="275"/>
      <c r="T171" s="275"/>
      <c r="U171" s="275"/>
      <c r="V171" s="275"/>
      <c r="W171" s="275"/>
      <c r="X171" s="275"/>
      <c r="Y171" s="163"/>
    </row>
    <row r="172" spans="1:36" s="153" customFormat="1" ht="11.25" x14ac:dyDescent="0.2">
      <c r="A172" s="620" t="s">
        <v>9</v>
      </c>
      <c r="B172" s="620"/>
      <c r="C172" s="620"/>
      <c r="D172" s="201"/>
      <c r="E172" s="201">
        <f>SUMIF($D$5:$D$132,"S",E$5:E$132)</f>
        <v>0</v>
      </c>
      <c r="F172" s="201">
        <v>372300.31000000006</v>
      </c>
      <c r="G172" s="201">
        <v>339212.76000000007</v>
      </c>
      <c r="H172" s="201">
        <v>33087.550000000003</v>
      </c>
      <c r="I172" s="194"/>
      <c r="J172" s="201"/>
      <c r="K172" s="201"/>
      <c r="L172" s="201"/>
      <c r="M172" s="194"/>
      <c r="N172" s="201">
        <v>4871.2860000000001</v>
      </c>
      <c r="O172" s="201">
        <v>3544.0160000000001</v>
      </c>
      <c r="P172" s="201">
        <v>1327.27</v>
      </c>
      <c r="Q172" s="194"/>
      <c r="R172" s="201">
        <v>13229.7</v>
      </c>
      <c r="S172" s="201">
        <v>13192.05</v>
      </c>
      <c r="T172" s="201">
        <v>37.65</v>
      </c>
      <c r="U172" s="201"/>
      <c r="V172" s="201">
        <v>390401.29599999997</v>
      </c>
      <c r="W172" s="201">
        <v>355948.826</v>
      </c>
      <c r="X172" s="201">
        <v>34452.470000000008</v>
      </c>
    </row>
    <row r="173" spans="1:36" s="153" customFormat="1" ht="15" customHeight="1" x14ac:dyDescent="0.2">
      <c r="A173" s="620" t="s">
        <v>10</v>
      </c>
      <c r="B173" s="620"/>
      <c r="C173" s="620"/>
      <c r="D173" s="276"/>
      <c r="E173" s="200"/>
      <c r="F173" s="201">
        <v>146660.39000000001</v>
      </c>
      <c r="G173" s="201">
        <v>134705.71</v>
      </c>
      <c r="H173" s="201">
        <v>11954.68</v>
      </c>
      <c r="I173" s="194"/>
      <c r="J173" s="201"/>
      <c r="K173" s="201"/>
      <c r="L173" s="201"/>
      <c r="M173" s="194"/>
      <c r="N173" s="201">
        <v>28754.23</v>
      </c>
      <c r="O173" s="201">
        <v>26302.869999999995</v>
      </c>
      <c r="P173" s="201">
        <v>2451.36</v>
      </c>
      <c r="Q173" s="194"/>
      <c r="R173" s="201">
        <v>1795.4099999999999</v>
      </c>
      <c r="S173" s="201">
        <v>1770.4099999999999</v>
      </c>
      <c r="T173" s="201">
        <v>25</v>
      </c>
      <c r="U173" s="201"/>
      <c r="V173" s="201">
        <v>177210.03</v>
      </c>
      <c r="W173" s="201">
        <v>162778.99000000002</v>
      </c>
      <c r="X173" s="201">
        <v>14431.04</v>
      </c>
      <c r="Y173" s="163"/>
    </row>
    <row r="174" spans="1:36" s="153" customFormat="1" ht="15" customHeight="1" x14ac:dyDescent="0.2">
      <c r="A174" s="620" t="s">
        <v>11</v>
      </c>
      <c r="B174" s="620"/>
      <c r="C174" s="620"/>
      <c r="D174" s="276"/>
      <c r="E174" s="200"/>
      <c r="F174" s="201">
        <v>88764.47</v>
      </c>
      <c r="G174" s="201">
        <v>83731.62000000001</v>
      </c>
      <c r="H174" s="201">
        <v>5032.8500000000004</v>
      </c>
      <c r="I174" s="194"/>
      <c r="J174" s="201"/>
      <c r="K174" s="201"/>
      <c r="L174" s="201"/>
      <c r="M174" s="194"/>
      <c r="N174" s="201">
        <v>33081.370000000003</v>
      </c>
      <c r="O174" s="201">
        <v>32754.100000000002</v>
      </c>
      <c r="P174" s="201">
        <v>327.27</v>
      </c>
      <c r="Q174" s="194"/>
      <c r="R174" s="201">
        <v>1459.7400000000002</v>
      </c>
      <c r="S174" s="201">
        <v>1459.7400000000002</v>
      </c>
      <c r="T174" s="201">
        <v>0</v>
      </c>
      <c r="U174" s="201"/>
      <c r="V174" s="201">
        <v>123305.58</v>
      </c>
      <c r="W174" s="201">
        <v>117945.45999999998</v>
      </c>
      <c r="X174" s="201">
        <v>5360.12</v>
      </c>
      <c r="Y174" s="163"/>
    </row>
    <row r="175" spans="1:36" s="153" customFormat="1" ht="15" customHeight="1" x14ac:dyDescent="0.2">
      <c r="A175" s="620" t="s">
        <v>12</v>
      </c>
      <c r="B175" s="620"/>
      <c r="C175" s="620"/>
      <c r="D175" s="276"/>
      <c r="E175" s="200"/>
      <c r="F175" s="201">
        <v>77814.850000000006</v>
      </c>
      <c r="G175" s="201">
        <v>70033.599999999991</v>
      </c>
      <c r="H175" s="201">
        <v>7781.2500000000018</v>
      </c>
      <c r="I175" s="194"/>
      <c r="J175" s="201"/>
      <c r="K175" s="201"/>
      <c r="L175" s="201"/>
      <c r="M175" s="194"/>
      <c r="N175" s="201">
        <v>40380.399999999994</v>
      </c>
      <c r="O175" s="201">
        <v>35121.450000000004</v>
      </c>
      <c r="P175" s="201">
        <v>5258.95</v>
      </c>
      <c r="Q175" s="194"/>
      <c r="R175" s="201">
        <v>1286.47</v>
      </c>
      <c r="S175" s="201">
        <v>1193.2400000000002</v>
      </c>
      <c r="T175" s="201">
        <v>93.23</v>
      </c>
      <c r="U175" s="201"/>
      <c r="V175" s="201">
        <v>119481.72</v>
      </c>
      <c r="W175" s="201">
        <v>106348.29000000002</v>
      </c>
      <c r="X175" s="201">
        <v>13133.43</v>
      </c>
      <c r="Y175" s="163"/>
    </row>
    <row r="176" spans="1:36" s="153" customFormat="1" ht="15" customHeight="1" x14ac:dyDescent="0.2">
      <c r="A176" s="112"/>
      <c r="B176" s="112"/>
      <c r="C176" s="112"/>
      <c r="D176" s="254"/>
      <c r="E176" s="165"/>
      <c r="F176" s="170"/>
      <c r="G176" s="170"/>
      <c r="H176" s="170"/>
      <c r="J176" s="170"/>
      <c r="K176" s="170"/>
      <c r="L176" s="170"/>
      <c r="N176" s="170"/>
      <c r="O176" s="170"/>
      <c r="P176" s="170"/>
      <c r="R176" s="170"/>
      <c r="S176" s="170"/>
      <c r="T176" s="170"/>
      <c r="U176" s="170"/>
      <c r="V176" s="170"/>
      <c r="W176" s="170"/>
      <c r="X176" s="170"/>
      <c r="Y176" s="163"/>
    </row>
    <row r="177" spans="1:25" x14ac:dyDescent="0.2">
      <c r="R177" s="228"/>
      <c r="S177" s="228"/>
      <c r="T177" s="228"/>
      <c r="U177" s="228"/>
      <c r="V177" s="228"/>
      <c r="W177" s="228"/>
      <c r="X177" s="228"/>
    </row>
    <row r="178" spans="1:25" x14ac:dyDescent="0.2">
      <c r="A178" s="621" t="s">
        <v>8</v>
      </c>
      <c r="B178" s="622"/>
      <c r="C178" s="623"/>
      <c r="D178" s="207"/>
      <c r="E178" s="208"/>
      <c r="F178" s="209">
        <v>687514.45999999985</v>
      </c>
      <c r="G178" s="209">
        <v>638603.65000000026</v>
      </c>
      <c r="H178" s="209">
        <v>48910.810000000005</v>
      </c>
      <c r="I178" s="277"/>
      <c r="J178" s="209"/>
      <c r="K178" s="209"/>
      <c r="L178" s="209"/>
      <c r="M178" s="277"/>
      <c r="N178" s="209">
        <v>106330.60000000005</v>
      </c>
      <c r="O178" s="209">
        <v>101481.76000000004</v>
      </c>
      <c r="P178" s="209">
        <v>4848.5300000000007</v>
      </c>
      <c r="Q178" s="277"/>
      <c r="R178" s="209">
        <v>16981.393999999997</v>
      </c>
      <c r="S178" s="209">
        <v>16504.433999999997</v>
      </c>
      <c r="T178" s="209">
        <v>476.96</v>
      </c>
      <c r="U178" s="209"/>
      <c r="V178" s="209">
        <v>810826.45399999991</v>
      </c>
      <c r="W178" s="209">
        <v>756589.84400000027</v>
      </c>
      <c r="X178" s="209">
        <v>54236.3</v>
      </c>
      <c r="Y178" s="163"/>
    </row>
    <row r="179" spans="1:25" x14ac:dyDescent="0.2">
      <c r="A179" s="208"/>
      <c r="B179" s="208" t="s">
        <v>574</v>
      </c>
      <c r="C179" s="208"/>
      <c r="D179" s="207"/>
      <c r="E179" s="208"/>
      <c r="F179" s="278"/>
      <c r="G179" s="278"/>
      <c r="H179" s="279"/>
      <c r="I179" s="208"/>
      <c r="J179" s="278"/>
      <c r="K179" s="278"/>
      <c r="L179" s="278"/>
      <c r="M179" s="208"/>
      <c r="N179" s="278"/>
      <c r="O179" s="278"/>
      <c r="P179" s="278"/>
      <c r="Q179" s="208"/>
      <c r="R179" s="278"/>
      <c r="S179" s="278"/>
      <c r="T179" s="278"/>
      <c r="U179" s="278"/>
      <c r="V179" s="278"/>
      <c r="W179" s="278"/>
      <c r="X179" s="278"/>
    </row>
    <row r="180" spans="1:25" x14ac:dyDescent="0.2">
      <c r="A180" s="608" t="s">
        <v>9</v>
      </c>
      <c r="B180" s="608"/>
      <c r="C180" s="608"/>
      <c r="D180" s="214"/>
      <c r="E180" s="214">
        <f>SUMIF($C$5:$C$132,"S",E$5:E$132)</f>
        <v>0</v>
      </c>
      <c r="F180" s="214">
        <v>369704.00000000006</v>
      </c>
      <c r="G180" s="214">
        <v>341422.31</v>
      </c>
      <c r="H180" s="214">
        <v>28281.689999999991</v>
      </c>
      <c r="I180" s="208"/>
      <c r="J180" s="214"/>
      <c r="K180" s="214"/>
      <c r="L180" s="214"/>
      <c r="M180" s="208"/>
      <c r="N180" s="214">
        <v>2183.08</v>
      </c>
      <c r="O180" s="214">
        <v>2172.4499999999998</v>
      </c>
      <c r="P180" s="214">
        <v>10.63</v>
      </c>
      <c r="Q180" s="208"/>
      <c r="R180" s="214">
        <v>12431.933999999999</v>
      </c>
      <c r="S180" s="214">
        <v>11976.223999999998</v>
      </c>
      <c r="T180" s="214">
        <v>455.71</v>
      </c>
      <c r="U180" s="214"/>
      <c r="V180" s="214">
        <v>384319.01400000008</v>
      </c>
      <c r="W180" s="214">
        <v>355570.984</v>
      </c>
      <c r="X180" s="214">
        <v>28748.029999999992</v>
      </c>
      <c r="Y180" s="163"/>
    </row>
    <row r="181" spans="1:25" x14ac:dyDescent="0.2">
      <c r="A181" s="608" t="s">
        <v>10</v>
      </c>
      <c r="B181" s="608"/>
      <c r="C181" s="608"/>
      <c r="D181" s="280"/>
      <c r="E181" s="213"/>
      <c r="F181" s="214">
        <v>147520.5</v>
      </c>
      <c r="G181" s="214">
        <v>139489.72</v>
      </c>
      <c r="H181" s="214">
        <v>8030.7800000000007</v>
      </c>
      <c r="I181" s="208"/>
      <c r="J181" s="214"/>
      <c r="K181" s="214"/>
      <c r="L181" s="214"/>
      <c r="M181" s="208"/>
      <c r="N181" s="214">
        <v>20529.609999999997</v>
      </c>
      <c r="O181" s="214">
        <v>20475.649999999998</v>
      </c>
      <c r="P181" s="214">
        <v>53.96</v>
      </c>
      <c r="Q181" s="208"/>
      <c r="R181" s="214">
        <v>1988.84</v>
      </c>
      <c r="S181" s="214">
        <v>1987.99</v>
      </c>
      <c r="T181" s="214">
        <v>0.85000000000000042</v>
      </c>
      <c r="U181" s="214"/>
      <c r="V181" s="214">
        <v>170038.94999999998</v>
      </c>
      <c r="W181" s="214">
        <v>161953.35999999999</v>
      </c>
      <c r="X181" s="214">
        <v>8085.5900000000011</v>
      </c>
      <c r="Y181" s="163"/>
    </row>
    <row r="182" spans="1:25" x14ac:dyDescent="0.2">
      <c r="A182" s="608" t="s">
        <v>11</v>
      </c>
      <c r="B182" s="608"/>
      <c r="C182" s="608"/>
      <c r="D182" s="280"/>
      <c r="E182" s="213"/>
      <c r="F182" s="214">
        <v>83224.44</v>
      </c>
      <c r="G182" s="214">
        <v>78992.170000000013</v>
      </c>
      <c r="H182" s="214">
        <v>4232.2699999999995</v>
      </c>
      <c r="I182" s="208"/>
      <c r="J182" s="214"/>
      <c r="K182" s="214"/>
      <c r="L182" s="214"/>
      <c r="M182" s="208"/>
      <c r="N182" s="214">
        <v>38744.71</v>
      </c>
      <c r="O182" s="214">
        <v>36411.24</v>
      </c>
      <c r="P182" s="214">
        <v>2333.4599999999996</v>
      </c>
      <c r="Q182" s="208"/>
      <c r="R182" s="214">
        <v>1349.48</v>
      </c>
      <c r="S182" s="214">
        <v>1349.48</v>
      </c>
      <c r="T182" s="214">
        <v>0</v>
      </c>
      <c r="U182" s="214"/>
      <c r="V182" s="214">
        <v>123318.62999999999</v>
      </c>
      <c r="W182" s="214">
        <v>116752.89</v>
      </c>
      <c r="X182" s="214">
        <v>6565.73</v>
      </c>
      <c r="Y182" s="163"/>
    </row>
    <row r="183" spans="1:25" x14ac:dyDescent="0.2">
      <c r="A183" s="608" t="s">
        <v>12</v>
      </c>
      <c r="B183" s="608"/>
      <c r="C183" s="608"/>
      <c r="D183" s="280"/>
      <c r="E183" s="213"/>
      <c r="F183" s="214">
        <v>87065.51999999999</v>
      </c>
      <c r="G183" s="214">
        <v>78699.449999999983</v>
      </c>
      <c r="H183" s="214">
        <v>8366.07</v>
      </c>
      <c r="I183" s="208"/>
      <c r="J183" s="214"/>
      <c r="K183" s="214"/>
      <c r="L183" s="214"/>
      <c r="M183" s="208"/>
      <c r="N183" s="214">
        <v>44873.200000000004</v>
      </c>
      <c r="O183" s="214">
        <v>42422.420000000006</v>
      </c>
      <c r="P183" s="214">
        <v>2450.4800000000005</v>
      </c>
      <c r="Q183" s="208"/>
      <c r="R183" s="214">
        <v>1211.1400000000001</v>
      </c>
      <c r="S183" s="214">
        <v>1190.74</v>
      </c>
      <c r="T183" s="214">
        <v>20.399999999999999</v>
      </c>
      <c r="U183" s="214"/>
      <c r="V183" s="214">
        <v>133149.86000000002</v>
      </c>
      <c r="W183" s="214">
        <v>122312.61</v>
      </c>
      <c r="X183" s="214">
        <v>10836.949999999999</v>
      </c>
      <c r="Y183" s="163"/>
    </row>
    <row r="184" spans="1:25" x14ac:dyDescent="0.2">
      <c r="R184" s="228"/>
      <c r="S184" s="228"/>
      <c r="T184" s="228"/>
      <c r="U184" s="228"/>
      <c r="V184" s="228"/>
      <c r="W184" s="228"/>
      <c r="X184" s="228"/>
    </row>
    <row r="185" spans="1:25" x14ac:dyDescent="0.2">
      <c r="A185" s="609" t="s">
        <v>8</v>
      </c>
      <c r="B185" s="610"/>
      <c r="C185" s="611"/>
      <c r="F185" s="217">
        <v>686938.75999999989</v>
      </c>
      <c r="G185" s="217">
        <v>637528.64999999991</v>
      </c>
      <c r="H185" s="217">
        <v>49410.109999999986</v>
      </c>
      <c r="I185" s="281"/>
      <c r="J185" s="217"/>
      <c r="K185" s="217"/>
      <c r="L185" s="217"/>
      <c r="M185" s="281"/>
      <c r="N185" s="217">
        <v>80437.433539999969</v>
      </c>
      <c r="O185" s="217">
        <v>78871.828739999968</v>
      </c>
      <c r="P185" s="217">
        <v>1565.6048000000001</v>
      </c>
      <c r="Q185" s="281"/>
      <c r="R185" s="217">
        <v>16389.834999999999</v>
      </c>
      <c r="S185" s="217">
        <v>15827.454999999998</v>
      </c>
      <c r="T185" s="217">
        <v>562.12</v>
      </c>
      <c r="U185" s="217"/>
      <c r="V185" s="217">
        <v>783766.02853999985</v>
      </c>
      <c r="W185" s="217">
        <v>732227.93373999989</v>
      </c>
      <c r="X185" s="217">
        <v>51537.83479999999</v>
      </c>
    </row>
    <row r="186" spans="1:25" x14ac:dyDescent="0.2">
      <c r="A186" s="216"/>
      <c r="B186" s="216" t="s">
        <v>575</v>
      </c>
      <c r="C186" s="216"/>
      <c r="F186" s="138"/>
      <c r="G186" s="138"/>
      <c r="H186" s="138"/>
      <c r="J186" s="138"/>
      <c r="K186" s="138"/>
      <c r="L186" s="138"/>
      <c r="N186" s="138"/>
      <c r="O186" s="138"/>
      <c r="P186" s="138"/>
      <c r="V186" s="138"/>
      <c r="W186" s="138"/>
      <c r="X186" s="138"/>
    </row>
    <row r="187" spans="1:25" x14ac:dyDescent="0.2">
      <c r="A187" s="612" t="s">
        <v>9</v>
      </c>
      <c r="B187" s="612"/>
      <c r="C187" s="612"/>
      <c r="F187" s="221">
        <v>374875.77</v>
      </c>
      <c r="G187" s="221">
        <v>347260.35000000003</v>
      </c>
      <c r="H187" s="221">
        <v>27615.420000000002</v>
      </c>
      <c r="I187" s="216"/>
      <c r="J187" s="221"/>
      <c r="K187" s="221"/>
      <c r="L187" s="221"/>
      <c r="M187" s="216"/>
      <c r="N187" s="221">
        <v>2568.2849259999998</v>
      </c>
      <c r="O187" s="221">
        <v>2561.5249259999996</v>
      </c>
      <c r="P187" s="221">
        <v>6.76</v>
      </c>
      <c r="Q187" s="216"/>
      <c r="R187" s="221">
        <v>11404.33</v>
      </c>
      <c r="S187" s="221">
        <v>11255.73</v>
      </c>
      <c r="T187" s="221">
        <v>148.6</v>
      </c>
      <c r="U187" s="221"/>
      <c r="V187" s="221">
        <v>388848.38492600003</v>
      </c>
      <c r="W187" s="221">
        <v>361077.604926</v>
      </c>
      <c r="X187" s="221">
        <v>27770.78</v>
      </c>
    </row>
    <row r="188" spans="1:25" x14ac:dyDescent="0.2">
      <c r="A188" s="612" t="s">
        <v>10</v>
      </c>
      <c r="B188" s="612"/>
      <c r="C188" s="612"/>
      <c r="F188" s="221">
        <v>145432.46</v>
      </c>
      <c r="G188" s="221">
        <v>136951.83999999997</v>
      </c>
      <c r="H188" s="221">
        <v>8480.619999999999</v>
      </c>
      <c r="I188" s="216"/>
      <c r="J188" s="221"/>
      <c r="K188" s="221"/>
      <c r="L188" s="221"/>
      <c r="M188" s="216"/>
      <c r="N188" s="221">
        <v>19680.835339999998</v>
      </c>
      <c r="O188" s="221">
        <v>19568.77534</v>
      </c>
      <c r="P188" s="221">
        <v>112.06</v>
      </c>
      <c r="Q188" s="216"/>
      <c r="R188" s="221">
        <v>2036.9649999999999</v>
      </c>
      <c r="S188" s="221">
        <v>2032.4449999999999</v>
      </c>
      <c r="T188" s="221">
        <v>4.5199999999999996</v>
      </c>
      <c r="U188" s="221"/>
      <c r="V188" s="221">
        <v>167150.26033999998</v>
      </c>
      <c r="W188" s="221">
        <v>158553.06033999997</v>
      </c>
      <c r="X188" s="221">
        <v>8597.1999999999989</v>
      </c>
    </row>
    <row r="189" spans="1:25" x14ac:dyDescent="0.2">
      <c r="A189" s="612" t="s">
        <v>11</v>
      </c>
      <c r="B189" s="612"/>
      <c r="C189" s="612"/>
      <c r="F189" s="221">
        <v>84300.34</v>
      </c>
      <c r="G189" s="221">
        <v>79000.91</v>
      </c>
      <c r="H189" s="221">
        <v>5299.4299999999994</v>
      </c>
      <c r="I189" s="216"/>
      <c r="J189" s="221"/>
      <c r="K189" s="221"/>
      <c r="L189" s="221"/>
      <c r="M189" s="216"/>
      <c r="N189" s="221">
        <v>27221.148804</v>
      </c>
      <c r="O189" s="221">
        <v>27101.608804</v>
      </c>
      <c r="P189" s="221">
        <v>119.53999999999999</v>
      </c>
      <c r="Q189" s="216"/>
      <c r="R189" s="221">
        <v>1919.6399999999999</v>
      </c>
      <c r="S189" s="221">
        <v>1579.6399999999999</v>
      </c>
      <c r="T189" s="221">
        <v>340</v>
      </c>
      <c r="U189" s="221"/>
      <c r="V189" s="221">
        <v>113441.12880399999</v>
      </c>
      <c r="W189" s="221">
        <v>107682.15880400001</v>
      </c>
      <c r="X189" s="221">
        <v>5758.9699999999993</v>
      </c>
    </row>
    <row r="190" spans="1:25" x14ac:dyDescent="0.2">
      <c r="A190" s="612" t="s">
        <v>12</v>
      </c>
      <c r="B190" s="612"/>
      <c r="C190" s="612"/>
      <c r="F190" s="221">
        <v>82330.189999999988</v>
      </c>
      <c r="G190" s="221">
        <v>74315.549999999974</v>
      </c>
      <c r="H190" s="221">
        <v>8014.6399999999985</v>
      </c>
      <c r="I190" s="216"/>
      <c r="J190" s="221"/>
      <c r="K190" s="221"/>
      <c r="L190" s="221"/>
      <c r="M190" s="216"/>
      <c r="N190" s="221">
        <v>30967.164470000003</v>
      </c>
      <c r="O190" s="221">
        <v>29639.919669999999</v>
      </c>
      <c r="P190" s="221">
        <v>1327.2448000000002</v>
      </c>
      <c r="Q190" s="216"/>
      <c r="R190" s="221">
        <v>1028.9000000000001</v>
      </c>
      <c r="S190" s="221">
        <v>959.64</v>
      </c>
      <c r="T190" s="221">
        <v>69</v>
      </c>
      <c r="U190" s="221"/>
      <c r="V190" s="221">
        <v>114326.25446999999</v>
      </c>
      <c r="W190" s="221">
        <v>104915.10966999998</v>
      </c>
      <c r="X190" s="221">
        <v>9410.884799999998</v>
      </c>
    </row>
  </sheetData>
  <mergeCells count="48">
    <mergeCell ref="A139:C139"/>
    <mergeCell ref="A1:T1"/>
    <mergeCell ref="F3:H3"/>
    <mergeCell ref="J3:L3"/>
    <mergeCell ref="N3:P3"/>
    <mergeCell ref="R3:T3"/>
    <mergeCell ref="AB3:AD3"/>
    <mergeCell ref="A134:C134"/>
    <mergeCell ref="A135:C135"/>
    <mergeCell ref="A137:C137"/>
    <mergeCell ref="A138:C138"/>
    <mergeCell ref="V3:X3"/>
    <mergeCell ref="A156:C156"/>
    <mergeCell ref="A140:C140"/>
    <mergeCell ref="A142:C142"/>
    <mergeCell ref="A144:C144"/>
    <mergeCell ref="A145:C145"/>
    <mergeCell ref="A146:C146"/>
    <mergeCell ref="A147:C147"/>
    <mergeCell ref="A149:C149"/>
    <mergeCell ref="A151:C151"/>
    <mergeCell ref="A152:C152"/>
    <mergeCell ref="A153:C153"/>
    <mergeCell ref="A154:C154"/>
    <mergeCell ref="A173:C173"/>
    <mergeCell ref="A158:C158"/>
    <mergeCell ref="A159:C159"/>
    <mergeCell ref="A160:C160"/>
    <mergeCell ref="A161:C161"/>
    <mergeCell ref="A163:C163"/>
    <mergeCell ref="A165:C165"/>
    <mergeCell ref="A166:C166"/>
    <mergeCell ref="A167:C167"/>
    <mergeCell ref="A168:C168"/>
    <mergeCell ref="A170:C170"/>
    <mergeCell ref="A172:C172"/>
    <mergeCell ref="A190:C190"/>
    <mergeCell ref="A174:C174"/>
    <mergeCell ref="A175:C175"/>
    <mergeCell ref="A178:C178"/>
    <mergeCell ref="A180:C180"/>
    <mergeCell ref="A181:C181"/>
    <mergeCell ref="A182:C182"/>
    <mergeCell ref="A183:C183"/>
    <mergeCell ref="A185:C185"/>
    <mergeCell ref="A187:C187"/>
    <mergeCell ref="A188:C188"/>
    <mergeCell ref="A189:C189"/>
  </mergeCells>
  <hyperlinks>
    <hyperlink ref="D63" location="'2009-10'!A160" display="Bottom" xr:uid="{147F1CB8-892F-41A3-9449-18F35C1BBCCA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1CF3-1B59-4D0C-A66A-38C361C955F6}">
  <dimension ref="A1:AH193"/>
  <sheetViews>
    <sheetView workbookViewId="0">
      <pane xSplit="3" ySplit="4" topLeftCell="I110" activePane="bottomRight" state="frozen"/>
      <selection pane="topRight" activeCell="D1" sqref="D1"/>
      <selection pane="bottomLeft" activeCell="A5" sqref="A5"/>
      <selection pane="bottomRight" activeCell="A134" sqref="A134:C134"/>
    </sheetView>
  </sheetViews>
  <sheetFormatPr defaultColWidth="9.140625" defaultRowHeight="12.75" x14ac:dyDescent="0.2"/>
  <cols>
    <col min="1" max="1" width="8" style="138" bestFit="1" customWidth="1"/>
    <col min="2" max="2" width="26" style="138" bestFit="1" customWidth="1"/>
    <col min="3" max="3" width="15.140625" style="138" bestFit="1" customWidth="1"/>
    <col min="4" max="4" width="3" style="236" bestFit="1" customWidth="1"/>
    <col min="5" max="5" width="0.85546875" style="138" customWidth="1"/>
    <col min="6" max="6" width="8.42578125" style="228" bestFit="1" customWidth="1"/>
    <col min="7" max="7" width="8.28515625" style="228" bestFit="1" customWidth="1"/>
    <col min="8" max="8" width="8.42578125" style="228" bestFit="1" customWidth="1"/>
    <col min="9" max="9" width="0.85546875" style="138" customWidth="1"/>
    <col min="10" max="10" width="9.7109375" style="228" bestFit="1" customWidth="1"/>
    <col min="11" max="11" width="9.28515625" style="228" customWidth="1"/>
    <col min="12" max="12" width="8.42578125" style="228" bestFit="1" customWidth="1"/>
    <col min="13" max="13" width="0.85546875" style="138" customWidth="1"/>
    <col min="14" max="14" width="8.42578125" style="228" bestFit="1" customWidth="1"/>
    <col min="15" max="15" width="9.28515625" style="228" customWidth="1"/>
    <col min="16" max="16" width="8.42578125" style="228" bestFit="1" customWidth="1"/>
    <col min="17" max="17" width="0.85546875" style="138" customWidth="1"/>
    <col min="18" max="18" width="8.42578125" style="138" bestFit="1" customWidth="1"/>
    <col min="19" max="19" width="9.42578125" style="138" bestFit="1" customWidth="1"/>
    <col min="20" max="20" width="8.42578125" style="138" bestFit="1" customWidth="1"/>
    <col min="21" max="21" width="0.85546875" style="138" customWidth="1"/>
    <col min="22" max="22" width="10.5703125" bestFit="1" customWidth="1"/>
    <col min="23" max="24" width="8.85546875" customWidth="1"/>
    <col min="25" max="25" width="2.7109375" style="138" customWidth="1"/>
    <col min="26" max="28" width="9.28515625" style="138" bestFit="1" customWidth="1"/>
    <col min="29" max="29" width="2.7109375" style="138" customWidth="1"/>
    <col min="30" max="32" width="8.42578125" style="138" customWidth="1"/>
    <col min="33" max="33" width="0.85546875" style="138" customWidth="1"/>
    <col min="34" max="16384" width="9.140625" style="138"/>
  </cols>
  <sheetData>
    <row r="1" spans="1:34" s="132" customFormat="1" ht="15.75" x14ac:dyDescent="0.25">
      <c r="A1" s="647" t="s">
        <v>748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8"/>
    </row>
    <row r="2" spans="1:34" s="240" customFormat="1" ht="15.75" x14ac:dyDescent="0.25">
      <c r="A2" s="238"/>
      <c r="B2" s="136"/>
      <c r="C2" s="136"/>
      <c r="D2" s="136"/>
      <c r="E2" s="136"/>
      <c r="F2" s="239"/>
      <c r="G2" s="239"/>
      <c r="H2" s="239"/>
      <c r="I2" s="136"/>
      <c r="J2" s="239"/>
      <c r="K2" s="239"/>
      <c r="L2" s="239"/>
      <c r="M2" s="239"/>
      <c r="N2" s="239"/>
      <c r="O2" s="239"/>
      <c r="P2" s="239"/>
      <c r="Q2" s="136"/>
      <c r="R2" s="239"/>
      <c r="S2" s="239"/>
      <c r="T2" s="239"/>
      <c r="U2" s="136"/>
      <c r="V2" s="241"/>
      <c r="W2" s="241"/>
      <c r="X2" s="241"/>
      <c r="AD2" s="239"/>
      <c r="AE2" s="239"/>
      <c r="AF2" s="239"/>
      <c r="AG2" s="136"/>
    </row>
    <row r="3" spans="1:34" ht="15.75" x14ac:dyDescent="0.25">
      <c r="A3" s="134"/>
      <c r="B3" s="239" t="s">
        <v>181</v>
      </c>
      <c r="C3" s="136"/>
      <c r="D3" s="242"/>
      <c r="E3" s="242"/>
      <c r="F3" s="660" t="s">
        <v>749</v>
      </c>
      <c r="G3" s="661"/>
      <c r="H3" s="661"/>
      <c r="I3" s="242"/>
      <c r="J3" s="660" t="s">
        <v>750</v>
      </c>
      <c r="K3" s="662"/>
      <c r="L3" s="662"/>
      <c r="M3" s="242"/>
      <c r="N3" s="660" t="s">
        <v>751</v>
      </c>
      <c r="O3" s="662"/>
      <c r="P3" s="662"/>
      <c r="Q3" s="242"/>
      <c r="R3" s="660" t="s">
        <v>752</v>
      </c>
      <c r="S3" s="661"/>
      <c r="T3" s="661"/>
      <c r="U3" s="242"/>
      <c r="V3" s="658" t="s">
        <v>753</v>
      </c>
      <c r="W3" s="659"/>
      <c r="X3" s="659"/>
      <c r="Z3" s="660" t="s">
        <v>729</v>
      </c>
      <c r="AA3" s="662"/>
      <c r="AB3" s="662"/>
      <c r="AD3" s="537" t="s">
        <v>754</v>
      </c>
      <c r="AE3" s="537"/>
      <c r="AF3" s="537"/>
      <c r="AG3" s="242"/>
    </row>
    <row r="4" spans="1:34" ht="36" x14ac:dyDescent="0.2">
      <c r="A4" s="7" t="s">
        <v>39</v>
      </c>
      <c r="B4" s="33" t="s">
        <v>40</v>
      </c>
      <c r="C4" s="32" t="s">
        <v>15</v>
      </c>
      <c r="D4" s="34" t="s">
        <v>5</v>
      </c>
      <c r="E4" s="244"/>
      <c r="F4" s="35" t="s">
        <v>554</v>
      </c>
      <c r="G4" s="35" t="s">
        <v>552</v>
      </c>
      <c r="H4" s="35" t="s">
        <v>553</v>
      </c>
      <c r="I4" s="244"/>
      <c r="J4" s="35" t="s">
        <v>554</v>
      </c>
      <c r="K4" s="35" t="s">
        <v>552</v>
      </c>
      <c r="L4" s="35" t="s">
        <v>553</v>
      </c>
      <c r="M4" s="538"/>
      <c r="N4" s="35" t="s">
        <v>554</v>
      </c>
      <c r="O4" s="35" t="s">
        <v>552</v>
      </c>
      <c r="P4" s="35" t="s">
        <v>553</v>
      </c>
      <c r="Q4" s="244"/>
      <c r="R4" s="35" t="s">
        <v>554</v>
      </c>
      <c r="S4" s="35" t="s">
        <v>552</v>
      </c>
      <c r="T4" s="35" t="s">
        <v>553</v>
      </c>
      <c r="U4" s="244"/>
      <c r="V4" s="35" t="s">
        <v>554</v>
      </c>
      <c r="W4" s="35" t="s">
        <v>552</v>
      </c>
      <c r="X4" s="35" t="s">
        <v>553</v>
      </c>
      <c r="Z4" s="35" t="s">
        <v>755</v>
      </c>
      <c r="AA4" s="35" t="s">
        <v>756</v>
      </c>
      <c r="AB4" s="35" t="s">
        <v>757</v>
      </c>
      <c r="AD4" s="126" t="s">
        <v>586</v>
      </c>
      <c r="AE4" s="126" t="s">
        <v>587</v>
      </c>
      <c r="AF4" s="126" t="s">
        <v>588</v>
      </c>
      <c r="AG4" s="244"/>
    </row>
    <row r="5" spans="1:34" x14ac:dyDescent="0.2">
      <c r="A5" s="9">
        <v>10050</v>
      </c>
      <c r="B5" s="9" t="s">
        <v>78</v>
      </c>
      <c r="C5" s="9" t="s">
        <v>73</v>
      </c>
      <c r="D5" s="29" t="s">
        <v>1</v>
      </c>
      <c r="E5" s="246"/>
      <c r="F5" s="1">
        <v>0</v>
      </c>
      <c r="G5" s="1">
        <v>0</v>
      </c>
      <c r="H5" s="1">
        <v>0</v>
      </c>
      <c r="I5" s="246"/>
      <c r="J5" s="1">
        <v>11959</v>
      </c>
      <c r="K5" s="1">
        <v>11924</v>
      </c>
      <c r="L5" s="1">
        <v>35</v>
      </c>
      <c r="M5" s="539"/>
      <c r="N5" s="1">
        <v>7333.11</v>
      </c>
      <c r="O5" s="1">
        <v>7333.11</v>
      </c>
      <c r="P5" s="1">
        <v>0</v>
      </c>
      <c r="Q5" s="246"/>
      <c r="R5" s="1">
        <v>0</v>
      </c>
      <c r="S5" s="1">
        <v>0</v>
      </c>
      <c r="T5" s="1">
        <v>0</v>
      </c>
      <c r="U5" s="246"/>
      <c r="V5" s="1">
        <f>F5+J5+N5+R5</f>
        <v>19292.11</v>
      </c>
      <c r="W5" s="1">
        <f>G5+K5+O5+S5</f>
        <v>19257.11</v>
      </c>
      <c r="X5" s="1">
        <f>H5+L5+P5+T5</f>
        <v>35</v>
      </c>
      <c r="Z5" s="1">
        <f t="shared" ref="Z5:AB68" si="0">F5+J5</f>
        <v>11959</v>
      </c>
      <c r="AA5" s="1">
        <f t="shared" si="0"/>
        <v>11924</v>
      </c>
      <c r="AB5" s="1">
        <f t="shared" si="0"/>
        <v>35</v>
      </c>
      <c r="AD5" s="247">
        <v>601.25</v>
      </c>
      <c r="AE5" s="247">
        <v>601</v>
      </c>
      <c r="AF5" s="247">
        <v>0</v>
      </c>
      <c r="AG5" s="246"/>
      <c r="AH5" s="540"/>
    </row>
    <row r="6" spans="1:34" x14ac:dyDescent="0.2">
      <c r="A6" s="8">
        <v>10130</v>
      </c>
      <c r="B6" s="8" t="s">
        <v>79</v>
      </c>
      <c r="C6" s="8" t="s">
        <v>17</v>
      </c>
      <c r="D6" s="29" t="s">
        <v>1</v>
      </c>
      <c r="E6" s="246"/>
      <c r="F6" s="1">
        <v>0</v>
      </c>
      <c r="G6" s="1">
        <v>0</v>
      </c>
      <c r="H6" s="1">
        <v>0</v>
      </c>
      <c r="I6" s="246"/>
      <c r="J6" s="1">
        <v>2505.8000000000002</v>
      </c>
      <c r="K6" s="1">
        <v>2475.15</v>
      </c>
      <c r="L6" s="1">
        <v>30.65</v>
      </c>
      <c r="M6" s="539"/>
      <c r="N6" s="1">
        <v>2153.3000000000002</v>
      </c>
      <c r="O6" s="1">
        <v>2153.3000000000002</v>
      </c>
      <c r="P6" s="1">
        <v>0</v>
      </c>
      <c r="Q6" s="246"/>
      <c r="R6" s="1">
        <v>0</v>
      </c>
      <c r="S6" s="1">
        <v>0</v>
      </c>
      <c r="T6" s="1">
        <v>0</v>
      </c>
      <c r="U6" s="246"/>
      <c r="V6" s="1">
        <f t="shared" ref="V6:X69" si="1">F6+J6+N6+R6</f>
        <v>4659.1000000000004</v>
      </c>
      <c r="W6" s="1">
        <f t="shared" si="1"/>
        <v>4628.4500000000007</v>
      </c>
      <c r="X6" s="1">
        <f t="shared" si="1"/>
        <v>30.65</v>
      </c>
      <c r="Z6" s="1">
        <f t="shared" si="0"/>
        <v>2505.8000000000002</v>
      </c>
      <c r="AA6" s="1">
        <f t="shared" si="0"/>
        <v>2475.15</v>
      </c>
      <c r="AB6" s="1">
        <f t="shared" si="0"/>
        <v>30.65</v>
      </c>
      <c r="AD6" s="247">
        <v>0</v>
      </c>
      <c r="AE6" s="247">
        <v>0</v>
      </c>
      <c r="AF6" s="247">
        <v>0</v>
      </c>
      <c r="AG6" s="246"/>
      <c r="AH6" s="540"/>
    </row>
    <row r="7" spans="1:34" x14ac:dyDescent="0.2">
      <c r="A7" s="8">
        <v>10250</v>
      </c>
      <c r="B7" s="8" t="s">
        <v>80</v>
      </c>
      <c r="C7" s="8" t="s">
        <v>20</v>
      </c>
      <c r="D7" s="29" t="s">
        <v>4</v>
      </c>
      <c r="E7" s="246"/>
      <c r="F7" s="1">
        <v>0</v>
      </c>
      <c r="G7" s="1">
        <v>0</v>
      </c>
      <c r="H7" s="1">
        <v>0</v>
      </c>
      <c r="I7" s="246"/>
      <c r="J7" s="1">
        <v>7219.93</v>
      </c>
      <c r="K7" s="1">
        <v>7219.93</v>
      </c>
      <c r="L7" s="1">
        <v>0</v>
      </c>
      <c r="M7" s="539"/>
      <c r="N7" s="1">
        <v>1331.87</v>
      </c>
      <c r="O7" s="1">
        <v>1331.87</v>
      </c>
      <c r="P7" s="1">
        <v>0</v>
      </c>
      <c r="Q7" s="246"/>
      <c r="R7" s="1">
        <v>0</v>
      </c>
      <c r="S7" s="1">
        <v>0</v>
      </c>
      <c r="T7" s="1">
        <v>0</v>
      </c>
      <c r="U7" s="246"/>
      <c r="V7" s="1">
        <f t="shared" si="1"/>
        <v>8551.7999999999993</v>
      </c>
      <c r="W7" s="1">
        <f t="shared" si="1"/>
        <v>8551.7999999999993</v>
      </c>
      <c r="X7" s="1">
        <f t="shared" si="1"/>
        <v>0</v>
      </c>
      <c r="Z7" s="1">
        <f t="shared" si="0"/>
        <v>7219.93</v>
      </c>
      <c r="AA7" s="1">
        <f t="shared" si="0"/>
        <v>7219.93</v>
      </c>
      <c r="AB7" s="1">
        <f t="shared" si="0"/>
        <v>0</v>
      </c>
      <c r="AD7" s="247">
        <v>485.87</v>
      </c>
      <c r="AE7" s="247">
        <v>485</v>
      </c>
      <c r="AF7" s="247">
        <v>0</v>
      </c>
      <c r="AG7" s="246"/>
      <c r="AH7" s="540"/>
    </row>
    <row r="8" spans="1:34" x14ac:dyDescent="0.2">
      <c r="A8" s="8">
        <v>10300</v>
      </c>
      <c r="B8" s="8" t="s">
        <v>81</v>
      </c>
      <c r="C8" s="8" t="s">
        <v>73</v>
      </c>
      <c r="D8" s="29" t="s">
        <v>1</v>
      </c>
      <c r="E8" s="246"/>
      <c r="F8" s="1">
        <v>0</v>
      </c>
      <c r="G8" s="1">
        <v>0</v>
      </c>
      <c r="H8" s="1">
        <v>0</v>
      </c>
      <c r="I8" s="246"/>
      <c r="J8" s="1">
        <v>0</v>
      </c>
      <c r="K8" s="1">
        <v>0</v>
      </c>
      <c r="L8" s="1">
        <v>0</v>
      </c>
      <c r="M8" s="539"/>
      <c r="N8" s="1">
        <v>0</v>
      </c>
      <c r="O8" s="1">
        <v>0</v>
      </c>
      <c r="P8" s="1">
        <v>0</v>
      </c>
      <c r="Q8" s="246"/>
      <c r="R8" s="1">
        <v>0</v>
      </c>
      <c r="S8" s="1">
        <v>0</v>
      </c>
      <c r="T8" s="1">
        <v>0</v>
      </c>
      <c r="U8" s="246"/>
      <c r="V8" s="1">
        <f t="shared" si="1"/>
        <v>0</v>
      </c>
      <c r="W8" s="1">
        <f t="shared" si="1"/>
        <v>0</v>
      </c>
      <c r="X8" s="1">
        <f t="shared" si="1"/>
        <v>0</v>
      </c>
      <c r="Z8" s="1">
        <f t="shared" si="0"/>
        <v>0</v>
      </c>
      <c r="AA8" s="1">
        <f t="shared" si="0"/>
        <v>0</v>
      </c>
      <c r="AB8" s="1">
        <f t="shared" si="0"/>
        <v>0</v>
      </c>
      <c r="AD8" s="247"/>
      <c r="AE8" s="247"/>
      <c r="AF8" s="247"/>
      <c r="AG8" s="246"/>
      <c r="AH8" s="540"/>
    </row>
    <row r="9" spans="1:34" x14ac:dyDescent="0.2">
      <c r="A9" s="8">
        <v>10470</v>
      </c>
      <c r="B9" s="8" t="s">
        <v>82</v>
      </c>
      <c r="C9" s="8" t="s">
        <v>42</v>
      </c>
      <c r="D9" s="29" t="s">
        <v>1</v>
      </c>
      <c r="E9" s="246"/>
      <c r="F9" s="1">
        <v>0</v>
      </c>
      <c r="G9" s="1">
        <v>0</v>
      </c>
      <c r="H9" s="1">
        <v>0</v>
      </c>
      <c r="I9" s="246"/>
      <c r="J9" s="1">
        <v>4821.0200000000004</v>
      </c>
      <c r="K9" s="1">
        <v>4821.0200000000004</v>
      </c>
      <c r="L9" s="1">
        <v>0</v>
      </c>
      <c r="M9" s="539"/>
      <c r="N9" s="1">
        <v>1487.8</v>
      </c>
      <c r="O9" s="1">
        <v>1431.6</v>
      </c>
      <c r="P9" s="1">
        <v>56.2</v>
      </c>
      <c r="Q9" s="246"/>
      <c r="R9" s="1">
        <v>0</v>
      </c>
      <c r="S9" s="1">
        <v>0</v>
      </c>
      <c r="T9" s="1">
        <v>0</v>
      </c>
      <c r="U9" s="246"/>
      <c r="V9" s="1">
        <f t="shared" si="1"/>
        <v>6308.8200000000006</v>
      </c>
      <c r="W9" s="1">
        <f t="shared" si="1"/>
        <v>6252.6200000000008</v>
      </c>
      <c r="X9" s="1">
        <f t="shared" si="1"/>
        <v>56.2</v>
      </c>
      <c r="Z9" s="1">
        <f t="shared" si="0"/>
        <v>4821.0200000000004</v>
      </c>
      <c r="AA9" s="1">
        <f t="shared" si="0"/>
        <v>4821.0200000000004</v>
      </c>
      <c r="AB9" s="1">
        <f t="shared" si="0"/>
        <v>0</v>
      </c>
      <c r="AD9" s="247">
        <v>853</v>
      </c>
      <c r="AE9" s="247">
        <v>853</v>
      </c>
      <c r="AF9" s="247">
        <v>0</v>
      </c>
      <c r="AG9" s="246"/>
      <c r="AH9" s="540"/>
    </row>
    <row r="10" spans="1:34" x14ac:dyDescent="0.2">
      <c r="A10" s="8">
        <v>10500</v>
      </c>
      <c r="B10" s="8" t="s">
        <v>23</v>
      </c>
      <c r="C10" s="8" t="s">
        <v>18</v>
      </c>
      <c r="D10" s="29" t="s">
        <v>3</v>
      </c>
      <c r="E10" s="246"/>
      <c r="F10" s="1">
        <v>2014</v>
      </c>
      <c r="G10" s="1">
        <v>1976</v>
      </c>
      <c r="H10" s="1">
        <v>38</v>
      </c>
      <c r="I10" s="246"/>
      <c r="J10" s="1">
        <v>0</v>
      </c>
      <c r="K10" s="1">
        <v>0</v>
      </c>
      <c r="L10" s="1">
        <v>0</v>
      </c>
      <c r="M10" s="539"/>
      <c r="N10" s="1">
        <v>46</v>
      </c>
      <c r="O10" s="1">
        <v>46</v>
      </c>
      <c r="P10" s="1">
        <v>0</v>
      </c>
      <c r="Q10" s="246"/>
      <c r="R10" s="1">
        <v>0</v>
      </c>
      <c r="S10" s="1">
        <v>0</v>
      </c>
      <c r="T10" s="1">
        <v>0</v>
      </c>
      <c r="U10" s="246"/>
      <c r="V10" s="1">
        <f t="shared" si="1"/>
        <v>2060</v>
      </c>
      <c r="W10" s="1">
        <f t="shared" si="1"/>
        <v>2022</v>
      </c>
      <c r="X10" s="1">
        <f t="shared" si="1"/>
        <v>38</v>
      </c>
      <c r="Z10" s="1">
        <f t="shared" si="0"/>
        <v>2014</v>
      </c>
      <c r="AA10" s="1">
        <f t="shared" si="0"/>
        <v>1976</v>
      </c>
      <c r="AB10" s="1">
        <f t="shared" si="0"/>
        <v>38</v>
      </c>
      <c r="AD10" s="247">
        <v>0</v>
      </c>
      <c r="AE10" s="247">
        <v>0</v>
      </c>
      <c r="AF10" s="247">
        <v>0</v>
      </c>
      <c r="AG10" s="246"/>
      <c r="AH10" s="540"/>
    </row>
    <row r="11" spans="1:34" x14ac:dyDescent="0.2">
      <c r="A11" s="8">
        <v>10550</v>
      </c>
      <c r="B11" s="8" t="s">
        <v>83</v>
      </c>
      <c r="C11" s="8" t="s">
        <v>74</v>
      </c>
      <c r="D11" s="29" t="s">
        <v>1</v>
      </c>
      <c r="E11" s="246"/>
      <c r="F11" s="1">
        <v>0</v>
      </c>
      <c r="G11" s="1">
        <v>0</v>
      </c>
      <c r="H11" s="1">
        <v>0</v>
      </c>
      <c r="I11" s="246"/>
      <c r="J11" s="1">
        <v>5406</v>
      </c>
      <c r="K11" s="1">
        <v>5103</v>
      </c>
      <c r="L11" s="1">
        <v>303</v>
      </c>
      <c r="M11" s="539"/>
      <c r="N11" s="1">
        <v>10276</v>
      </c>
      <c r="O11" s="1">
        <v>10276</v>
      </c>
      <c r="P11" s="1">
        <v>0</v>
      </c>
      <c r="Q11" s="246"/>
      <c r="R11" s="1">
        <v>0</v>
      </c>
      <c r="S11" s="1">
        <v>0</v>
      </c>
      <c r="T11" s="1">
        <v>0</v>
      </c>
      <c r="U11" s="246"/>
      <c r="V11" s="1">
        <f t="shared" si="1"/>
        <v>15682</v>
      </c>
      <c r="W11" s="1">
        <f t="shared" si="1"/>
        <v>15379</v>
      </c>
      <c r="X11" s="1">
        <f t="shared" si="1"/>
        <v>303</v>
      </c>
      <c r="Z11" s="1">
        <f t="shared" si="0"/>
        <v>5406</v>
      </c>
      <c r="AA11" s="1">
        <f t="shared" si="0"/>
        <v>5103</v>
      </c>
      <c r="AB11" s="1">
        <f t="shared" si="0"/>
        <v>303</v>
      </c>
      <c r="AD11" s="247"/>
      <c r="AE11" s="247"/>
      <c r="AF11" s="247"/>
      <c r="AG11" s="246"/>
      <c r="AH11" s="540"/>
    </row>
    <row r="12" spans="1:34" x14ac:dyDescent="0.2">
      <c r="A12" s="8">
        <v>10600</v>
      </c>
      <c r="B12" s="8" t="s">
        <v>51</v>
      </c>
      <c r="C12" s="8" t="s">
        <v>43</v>
      </c>
      <c r="D12" s="29" t="s">
        <v>4</v>
      </c>
      <c r="E12" s="246"/>
      <c r="F12" s="1">
        <v>0</v>
      </c>
      <c r="G12" s="1">
        <v>0</v>
      </c>
      <c r="H12" s="1">
        <v>0</v>
      </c>
      <c r="I12" s="246"/>
      <c r="J12" s="1">
        <v>1765.2</v>
      </c>
      <c r="K12" s="1">
        <v>1765.2</v>
      </c>
      <c r="L12" s="1">
        <v>0</v>
      </c>
      <c r="M12" s="539"/>
      <c r="N12" s="1">
        <v>861.32</v>
      </c>
      <c r="O12" s="1">
        <v>861.32</v>
      </c>
      <c r="P12" s="1">
        <v>0</v>
      </c>
      <c r="Q12" s="246"/>
      <c r="R12" s="1">
        <v>0</v>
      </c>
      <c r="S12" s="1">
        <v>0</v>
      </c>
      <c r="T12" s="1">
        <v>0</v>
      </c>
      <c r="U12" s="246"/>
      <c r="V12" s="1">
        <f t="shared" si="1"/>
        <v>2626.52</v>
      </c>
      <c r="W12" s="1">
        <f t="shared" si="1"/>
        <v>2626.52</v>
      </c>
      <c r="X12" s="1">
        <f t="shared" si="1"/>
        <v>0</v>
      </c>
      <c r="Z12" s="1">
        <f t="shared" si="0"/>
        <v>1765.2</v>
      </c>
      <c r="AA12" s="1">
        <f t="shared" si="0"/>
        <v>1765.2</v>
      </c>
      <c r="AB12" s="1">
        <f t="shared" si="0"/>
        <v>0</v>
      </c>
      <c r="AD12" s="247">
        <v>0</v>
      </c>
      <c r="AE12" s="247">
        <v>0</v>
      </c>
      <c r="AF12" s="247">
        <v>0</v>
      </c>
      <c r="AG12" s="246"/>
      <c r="AH12" s="540"/>
    </row>
    <row r="13" spans="1:34" x14ac:dyDescent="0.2">
      <c r="A13" s="8">
        <v>10650</v>
      </c>
      <c r="B13" s="8" t="s">
        <v>84</v>
      </c>
      <c r="C13" s="8" t="s">
        <v>73</v>
      </c>
      <c r="D13" s="29" t="s">
        <v>1</v>
      </c>
      <c r="E13" s="246"/>
      <c r="F13" s="1">
        <v>0</v>
      </c>
      <c r="G13" s="1">
        <v>0</v>
      </c>
      <c r="H13" s="1">
        <v>0</v>
      </c>
      <c r="I13" s="246"/>
      <c r="J13" s="1">
        <v>0</v>
      </c>
      <c r="K13" s="1">
        <v>0</v>
      </c>
      <c r="L13" s="1">
        <v>0</v>
      </c>
      <c r="M13" s="539"/>
      <c r="N13" s="1">
        <v>392.1</v>
      </c>
      <c r="O13" s="1">
        <v>392.1</v>
      </c>
      <c r="P13" s="1">
        <v>0</v>
      </c>
      <c r="Q13" s="246"/>
      <c r="R13" s="1">
        <v>0</v>
      </c>
      <c r="S13" s="1">
        <v>0</v>
      </c>
      <c r="T13" s="1">
        <v>0</v>
      </c>
      <c r="U13" s="246"/>
      <c r="V13" s="1">
        <f t="shared" si="1"/>
        <v>392.1</v>
      </c>
      <c r="W13" s="1">
        <f t="shared" si="1"/>
        <v>392.1</v>
      </c>
      <c r="X13" s="1">
        <f t="shared" si="1"/>
        <v>0</v>
      </c>
      <c r="Z13" s="1">
        <f t="shared" si="0"/>
        <v>0</v>
      </c>
      <c r="AA13" s="1">
        <f t="shared" si="0"/>
        <v>0</v>
      </c>
      <c r="AB13" s="1">
        <f t="shared" si="0"/>
        <v>0</v>
      </c>
      <c r="AD13" s="247"/>
      <c r="AE13" s="247"/>
      <c r="AF13" s="247"/>
      <c r="AG13" s="246"/>
      <c r="AH13" s="540"/>
    </row>
    <row r="14" spans="1:34" x14ac:dyDescent="0.2">
      <c r="A14" s="8">
        <v>10750</v>
      </c>
      <c r="B14" s="8" t="s">
        <v>52</v>
      </c>
      <c r="C14" s="8" t="s">
        <v>19</v>
      </c>
      <c r="D14" s="29" t="s">
        <v>3</v>
      </c>
      <c r="E14" s="246"/>
      <c r="F14" s="1">
        <v>0</v>
      </c>
      <c r="G14" s="1">
        <v>0</v>
      </c>
      <c r="H14" s="1">
        <v>0</v>
      </c>
      <c r="I14" s="246"/>
      <c r="J14" s="1">
        <v>0</v>
      </c>
      <c r="K14" s="1">
        <v>0</v>
      </c>
      <c r="L14" s="1">
        <v>0</v>
      </c>
      <c r="M14" s="539"/>
      <c r="N14" s="1">
        <v>0</v>
      </c>
      <c r="O14" s="1">
        <v>0</v>
      </c>
      <c r="P14" s="1">
        <v>0</v>
      </c>
      <c r="Q14" s="246"/>
      <c r="R14" s="1">
        <v>0</v>
      </c>
      <c r="S14" s="1">
        <v>0</v>
      </c>
      <c r="T14" s="1">
        <v>0</v>
      </c>
      <c r="U14" s="246"/>
      <c r="V14" s="1">
        <f t="shared" si="1"/>
        <v>0</v>
      </c>
      <c r="W14" s="1">
        <f t="shared" si="1"/>
        <v>0</v>
      </c>
      <c r="X14" s="1">
        <f t="shared" si="1"/>
        <v>0</v>
      </c>
      <c r="Z14" s="1">
        <f t="shared" si="0"/>
        <v>0</v>
      </c>
      <c r="AA14" s="1">
        <f t="shared" si="0"/>
        <v>0</v>
      </c>
      <c r="AB14" s="1">
        <f t="shared" si="0"/>
        <v>0</v>
      </c>
      <c r="AD14" s="247"/>
      <c r="AE14" s="247"/>
      <c r="AF14" s="247"/>
      <c r="AG14" s="246"/>
      <c r="AH14" s="540"/>
    </row>
    <row r="15" spans="1:34" x14ac:dyDescent="0.2">
      <c r="A15" s="8">
        <v>10800</v>
      </c>
      <c r="B15" s="8" t="s">
        <v>85</v>
      </c>
      <c r="C15" s="8" t="s">
        <v>22</v>
      </c>
      <c r="D15" s="29" t="s">
        <v>1</v>
      </c>
      <c r="E15" s="246"/>
      <c r="F15" s="1">
        <v>0</v>
      </c>
      <c r="G15" s="1">
        <v>0</v>
      </c>
      <c r="H15" s="1">
        <v>0</v>
      </c>
      <c r="I15" s="246"/>
      <c r="J15" s="1">
        <v>0</v>
      </c>
      <c r="K15" s="1">
        <v>0</v>
      </c>
      <c r="L15" s="1">
        <v>0</v>
      </c>
      <c r="M15" s="539"/>
      <c r="N15" s="1">
        <v>151.32</v>
      </c>
      <c r="O15" s="1">
        <v>151.32</v>
      </c>
      <c r="P15" s="1">
        <v>0</v>
      </c>
      <c r="Q15" s="246"/>
      <c r="R15" s="1">
        <v>0</v>
      </c>
      <c r="S15" s="1">
        <v>0</v>
      </c>
      <c r="T15" s="1">
        <v>0</v>
      </c>
      <c r="U15" s="246"/>
      <c r="V15" s="1">
        <f t="shared" si="1"/>
        <v>151.32</v>
      </c>
      <c r="W15" s="1">
        <f t="shared" si="1"/>
        <v>151.32</v>
      </c>
      <c r="X15" s="1">
        <f t="shared" si="1"/>
        <v>0</v>
      </c>
      <c r="Z15" s="1">
        <f t="shared" si="0"/>
        <v>0</v>
      </c>
      <c r="AA15" s="1">
        <f t="shared" si="0"/>
        <v>0</v>
      </c>
      <c r="AB15" s="1">
        <f t="shared" si="0"/>
        <v>0</v>
      </c>
      <c r="AD15" s="247"/>
      <c r="AE15" s="247"/>
      <c r="AF15" s="247"/>
      <c r="AG15" s="246"/>
      <c r="AH15" s="540"/>
    </row>
    <row r="16" spans="1:34" x14ac:dyDescent="0.2">
      <c r="A16" s="8">
        <v>10850</v>
      </c>
      <c r="B16" s="8" t="s">
        <v>86</v>
      </c>
      <c r="C16" s="8" t="s">
        <v>42</v>
      </c>
      <c r="D16" s="29" t="s">
        <v>1</v>
      </c>
      <c r="E16" s="246"/>
      <c r="F16" s="1">
        <v>0</v>
      </c>
      <c r="G16" s="1">
        <v>0</v>
      </c>
      <c r="H16" s="1">
        <v>0</v>
      </c>
      <c r="I16" s="246"/>
      <c r="J16" s="1">
        <v>0</v>
      </c>
      <c r="K16" s="1">
        <v>0</v>
      </c>
      <c r="L16" s="1">
        <v>0</v>
      </c>
      <c r="M16" s="539"/>
      <c r="N16" s="1">
        <v>299</v>
      </c>
      <c r="O16" s="1">
        <v>299</v>
      </c>
      <c r="P16" s="1">
        <v>0</v>
      </c>
      <c r="Q16" s="246"/>
      <c r="R16" s="1">
        <v>0</v>
      </c>
      <c r="S16" s="1">
        <v>0</v>
      </c>
      <c r="T16" s="1">
        <v>0</v>
      </c>
      <c r="U16" s="246"/>
      <c r="V16" s="1">
        <f t="shared" si="1"/>
        <v>299</v>
      </c>
      <c r="W16" s="1">
        <f t="shared" si="1"/>
        <v>299</v>
      </c>
      <c r="X16" s="1">
        <f t="shared" si="1"/>
        <v>0</v>
      </c>
      <c r="Z16" s="1">
        <f t="shared" si="0"/>
        <v>0</v>
      </c>
      <c r="AA16" s="1">
        <f t="shared" si="0"/>
        <v>0</v>
      </c>
      <c r="AB16" s="1">
        <f t="shared" si="0"/>
        <v>0</v>
      </c>
      <c r="AD16" s="247"/>
      <c r="AE16" s="247"/>
      <c r="AF16" s="247"/>
      <c r="AG16" s="246"/>
      <c r="AH16" s="540"/>
    </row>
    <row r="17" spans="1:34" x14ac:dyDescent="0.2">
      <c r="A17" s="8">
        <v>10900</v>
      </c>
      <c r="B17" s="8" t="s">
        <v>87</v>
      </c>
      <c r="C17" s="8" t="s">
        <v>19</v>
      </c>
      <c r="D17" s="29" t="s">
        <v>4</v>
      </c>
      <c r="E17" s="246"/>
      <c r="F17" s="1">
        <v>11470</v>
      </c>
      <c r="G17" s="1">
        <v>11241</v>
      </c>
      <c r="H17" s="1">
        <v>229</v>
      </c>
      <c r="I17" s="246"/>
      <c r="J17" s="1">
        <v>0</v>
      </c>
      <c r="K17" s="1">
        <v>0</v>
      </c>
      <c r="L17" s="1">
        <v>0</v>
      </c>
      <c r="M17" s="539"/>
      <c r="N17" s="1">
        <v>3301.05</v>
      </c>
      <c r="O17" s="1">
        <v>3301.05</v>
      </c>
      <c r="P17" s="1">
        <v>0</v>
      </c>
      <c r="Q17" s="246"/>
      <c r="R17" s="1">
        <v>0</v>
      </c>
      <c r="S17" s="1">
        <v>0</v>
      </c>
      <c r="T17" s="1">
        <v>0</v>
      </c>
      <c r="U17" s="246"/>
      <c r="V17" s="1">
        <f t="shared" si="1"/>
        <v>14771.05</v>
      </c>
      <c r="W17" s="1">
        <f t="shared" si="1"/>
        <v>14542.05</v>
      </c>
      <c r="X17" s="1">
        <f t="shared" si="1"/>
        <v>229</v>
      </c>
      <c r="Z17" s="1">
        <f t="shared" si="0"/>
        <v>11470</v>
      </c>
      <c r="AA17" s="1">
        <f t="shared" si="0"/>
        <v>11241</v>
      </c>
      <c r="AB17" s="1">
        <f t="shared" si="0"/>
        <v>229</v>
      </c>
      <c r="AD17" s="247">
        <v>0</v>
      </c>
      <c r="AE17" s="247">
        <v>0</v>
      </c>
      <c r="AF17" s="247">
        <v>0</v>
      </c>
      <c r="AG17" s="246"/>
      <c r="AH17" s="540"/>
    </row>
    <row r="18" spans="1:34" x14ac:dyDescent="0.2">
      <c r="A18" s="8">
        <v>10950</v>
      </c>
      <c r="B18" s="8" t="s">
        <v>88</v>
      </c>
      <c r="C18" s="8" t="s">
        <v>42</v>
      </c>
      <c r="D18" s="29" t="s">
        <v>1</v>
      </c>
      <c r="E18" s="246"/>
      <c r="F18" s="1">
        <v>0</v>
      </c>
      <c r="G18" s="1">
        <v>0</v>
      </c>
      <c r="H18" s="1">
        <v>0</v>
      </c>
      <c r="I18" s="246"/>
      <c r="J18" s="1">
        <v>0</v>
      </c>
      <c r="K18" s="1">
        <v>0</v>
      </c>
      <c r="L18" s="1">
        <v>0</v>
      </c>
      <c r="M18" s="539"/>
      <c r="N18" s="1">
        <v>680.78</v>
      </c>
      <c r="O18" s="1">
        <v>680.78</v>
      </c>
      <c r="P18" s="1">
        <v>0</v>
      </c>
      <c r="Q18" s="246"/>
      <c r="R18" s="1">
        <v>0</v>
      </c>
      <c r="S18" s="1">
        <v>0</v>
      </c>
      <c r="T18" s="1">
        <v>0</v>
      </c>
      <c r="U18" s="246"/>
      <c r="V18" s="1">
        <f t="shared" si="1"/>
        <v>680.78</v>
      </c>
      <c r="W18" s="1">
        <f t="shared" si="1"/>
        <v>680.78</v>
      </c>
      <c r="X18" s="1">
        <f t="shared" si="1"/>
        <v>0</v>
      </c>
      <c r="Z18" s="1">
        <f t="shared" si="0"/>
        <v>0</v>
      </c>
      <c r="AA18" s="1">
        <f t="shared" si="0"/>
        <v>0</v>
      </c>
      <c r="AB18" s="1">
        <f t="shared" si="0"/>
        <v>0</v>
      </c>
      <c r="AD18" s="247">
        <v>0</v>
      </c>
      <c r="AE18" s="247">
        <v>0</v>
      </c>
      <c r="AF18" s="247">
        <v>0</v>
      </c>
      <c r="AG18" s="246"/>
      <c r="AH18" s="540"/>
    </row>
    <row r="19" spans="1:34" x14ac:dyDescent="0.2">
      <c r="A19" s="8">
        <v>11150</v>
      </c>
      <c r="B19" s="8" t="s">
        <v>89</v>
      </c>
      <c r="C19" s="8" t="s">
        <v>42</v>
      </c>
      <c r="D19" s="29" t="s">
        <v>1</v>
      </c>
      <c r="E19" s="246"/>
      <c r="F19" s="1">
        <v>0</v>
      </c>
      <c r="G19" s="1">
        <v>0</v>
      </c>
      <c r="H19" s="1">
        <v>0</v>
      </c>
      <c r="I19" s="246"/>
      <c r="J19" s="1">
        <v>0</v>
      </c>
      <c r="K19" s="1">
        <v>0</v>
      </c>
      <c r="L19" s="1">
        <v>0</v>
      </c>
      <c r="M19" s="539"/>
      <c r="N19" s="1">
        <v>257</v>
      </c>
      <c r="O19" s="1">
        <v>257</v>
      </c>
      <c r="P19" s="1">
        <v>0</v>
      </c>
      <c r="Q19" s="246"/>
      <c r="R19" s="1">
        <v>0</v>
      </c>
      <c r="S19" s="1">
        <v>0</v>
      </c>
      <c r="T19" s="1">
        <v>0</v>
      </c>
      <c r="U19" s="246"/>
      <c r="V19" s="1">
        <f t="shared" si="1"/>
        <v>257</v>
      </c>
      <c r="W19" s="1">
        <f t="shared" si="1"/>
        <v>257</v>
      </c>
      <c r="X19" s="1">
        <f t="shared" si="1"/>
        <v>0</v>
      </c>
      <c r="Z19" s="1">
        <f t="shared" si="0"/>
        <v>0</v>
      </c>
      <c r="AA19" s="1">
        <f t="shared" si="0"/>
        <v>0</v>
      </c>
      <c r="AB19" s="1">
        <f t="shared" si="0"/>
        <v>0</v>
      </c>
      <c r="AD19" s="247"/>
      <c r="AE19" s="247"/>
      <c r="AF19" s="247"/>
      <c r="AG19" s="246"/>
      <c r="AH19" s="540"/>
    </row>
    <row r="20" spans="1:34" x14ac:dyDescent="0.2">
      <c r="A20" s="8">
        <v>11200</v>
      </c>
      <c r="B20" s="8" t="s">
        <v>90</v>
      </c>
      <c r="C20" s="8" t="s">
        <v>42</v>
      </c>
      <c r="D20" s="29" t="s">
        <v>1</v>
      </c>
      <c r="E20" s="246"/>
      <c r="F20" s="1">
        <v>0</v>
      </c>
      <c r="G20" s="1">
        <v>0</v>
      </c>
      <c r="H20" s="1">
        <v>0</v>
      </c>
      <c r="I20" s="246"/>
      <c r="J20" s="1">
        <v>0</v>
      </c>
      <c r="K20" s="1">
        <v>0</v>
      </c>
      <c r="L20" s="1">
        <v>0</v>
      </c>
      <c r="M20" s="539"/>
      <c r="N20" s="1">
        <v>0</v>
      </c>
      <c r="O20" s="1">
        <v>0</v>
      </c>
      <c r="P20" s="1">
        <v>0</v>
      </c>
      <c r="Q20" s="246"/>
      <c r="R20" s="1">
        <v>0</v>
      </c>
      <c r="S20" s="1">
        <v>0</v>
      </c>
      <c r="T20" s="1">
        <v>0</v>
      </c>
      <c r="U20" s="246"/>
      <c r="V20" s="1">
        <f t="shared" si="1"/>
        <v>0</v>
      </c>
      <c r="W20" s="1">
        <f t="shared" si="1"/>
        <v>0</v>
      </c>
      <c r="X20" s="1">
        <f t="shared" si="1"/>
        <v>0</v>
      </c>
      <c r="Z20" s="1">
        <f t="shared" si="0"/>
        <v>0</v>
      </c>
      <c r="AA20" s="1">
        <f t="shared" si="0"/>
        <v>0</v>
      </c>
      <c r="AB20" s="1">
        <f t="shared" si="0"/>
        <v>0</v>
      </c>
      <c r="AD20" s="247"/>
      <c r="AE20" s="247"/>
      <c r="AF20" s="247"/>
      <c r="AG20" s="246"/>
      <c r="AH20" s="540"/>
    </row>
    <row r="21" spans="1:34" x14ac:dyDescent="0.2">
      <c r="A21" s="8">
        <v>11250</v>
      </c>
      <c r="B21" s="8" t="s">
        <v>91</v>
      </c>
      <c r="C21" s="8" t="s">
        <v>42</v>
      </c>
      <c r="D21" s="29" t="s">
        <v>1</v>
      </c>
      <c r="E21" s="246"/>
      <c r="F21" s="1">
        <v>0</v>
      </c>
      <c r="G21" s="1">
        <v>0</v>
      </c>
      <c r="H21" s="1">
        <v>0</v>
      </c>
      <c r="I21" s="246"/>
      <c r="J21" s="1">
        <v>2026.72</v>
      </c>
      <c r="K21" s="1">
        <v>0.72000000000002728</v>
      </c>
      <c r="L21" s="1">
        <v>2026</v>
      </c>
      <c r="M21" s="539"/>
      <c r="N21" s="1">
        <v>917.51</v>
      </c>
      <c r="O21" s="1">
        <v>0</v>
      </c>
      <c r="P21" s="1">
        <v>917.51</v>
      </c>
      <c r="Q21" s="246"/>
      <c r="R21" s="1">
        <v>0</v>
      </c>
      <c r="S21" s="1">
        <v>0</v>
      </c>
      <c r="T21" s="1">
        <v>0</v>
      </c>
      <c r="U21" s="246"/>
      <c r="V21" s="1">
        <f t="shared" si="1"/>
        <v>2944.23</v>
      </c>
      <c r="W21" s="1">
        <f t="shared" si="1"/>
        <v>0.72000000000002728</v>
      </c>
      <c r="X21" s="1">
        <f t="shared" si="1"/>
        <v>2943.51</v>
      </c>
      <c r="Z21" s="1">
        <f t="shared" si="0"/>
        <v>2026.72</v>
      </c>
      <c r="AA21" s="1">
        <f t="shared" si="0"/>
        <v>0.72000000000002728</v>
      </c>
      <c r="AB21" s="1">
        <f t="shared" si="0"/>
        <v>2026</v>
      </c>
      <c r="AD21" s="247">
        <v>0</v>
      </c>
      <c r="AE21" s="247">
        <v>0</v>
      </c>
      <c r="AF21" s="247">
        <v>0</v>
      </c>
      <c r="AG21" s="246"/>
      <c r="AH21" s="540"/>
    </row>
    <row r="22" spans="1:34" x14ac:dyDescent="0.2">
      <c r="A22" s="8">
        <v>11300</v>
      </c>
      <c r="B22" s="8" t="s">
        <v>92</v>
      </c>
      <c r="C22" s="8" t="s">
        <v>18</v>
      </c>
      <c r="D22" s="29" t="s">
        <v>3</v>
      </c>
      <c r="E22" s="246"/>
      <c r="F22" s="1">
        <v>2494.91</v>
      </c>
      <c r="G22" s="1">
        <v>2494.91</v>
      </c>
      <c r="H22" s="1">
        <v>0</v>
      </c>
      <c r="I22" s="246"/>
      <c r="J22" s="1">
        <v>0</v>
      </c>
      <c r="K22" s="1">
        <v>0</v>
      </c>
      <c r="L22" s="1">
        <v>0</v>
      </c>
      <c r="M22" s="539"/>
      <c r="N22" s="1">
        <v>0</v>
      </c>
      <c r="O22" s="1">
        <v>0</v>
      </c>
      <c r="P22" s="1">
        <v>0</v>
      </c>
      <c r="Q22" s="246"/>
      <c r="R22" s="1">
        <v>0</v>
      </c>
      <c r="S22" s="1">
        <v>0</v>
      </c>
      <c r="T22" s="1">
        <v>0</v>
      </c>
      <c r="U22" s="246"/>
      <c r="V22" s="1">
        <f t="shared" si="1"/>
        <v>2494.91</v>
      </c>
      <c r="W22" s="1">
        <f t="shared" si="1"/>
        <v>2494.91</v>
      </c>
      <c r="X22" s="1">
        <f t="shared" si="1"/>
        <v>0</v>
      </c>
      <c r="Z22" s="1">
        <f t="shared" si="0"/>
        <v>2494.91</v>
      </c>
      <c r="AA22" s="1">
        <f t="shared" si="0"/>
        <v>2494.91</v>
      </c>
      <c r="AB22" s="1">
        <f t="shared" si="0"/>
        <v>0</v>
      </c>
      <c r="AD22" s="247">
        <v>0</v>
      </c>
      <c r="AE22" s="247">
        <v>0</v>
      </c>
      <c r="AF22" s="247">
        <v>0</v>
      </c>
      <c r="AG22" s="246"/>
      <c r="AH22" s="540"/>
    </row>
    <row r="23" spans="1:34" x14ac:dyDescent="0.2">
      <c r="A23" s="8">
        <v>11350</v>
      </c>
      <c r="B23" s="8" t="s">
        <v>93</v>
      </c>
      <c r="C23" s="8" t="s">
        <v>20</v>
      </c>
      <c r="D23" s="29" t="s">
        <v>4</v>
      </c>
      <c r="E23" s="246"/>
      <c r="F23" s="1">
        <v>0</v>
      </c>
      <c r="G23" s="1">
        <v>0</v>
      </c>
      <c r="H23" s="1">
        <v>0</v>
      </c>
      <c r="I23" s="246"/>
      <c r="J23" s="1">
        <v>5661</v>
      </c>
      <c r="K23" s="1">
        <v>5661</v>
      </c>
      <c r="L23" s="1">
        <v>0</v>
      </c>
      <c r="M23" s="539"/>
      <c r="N23" s="1">
        <v>3085</v>
      </c>
      <c r="O23" s="1">
        <v>3085</v>
      </c>
      <c r="P23" s="1">
        <v>0</v>
      </c>
      <c r="Q23" s="246"/>
      <c r="R23" s="1">
        <v>159.52000000000001</v>
      </c>
      <c r="S23" s="1">
        <v>159.52000000000001</v>
      </c>
      <c r="T23" s="1">
        <v>0</v>
      </c>
      <c r="U23" s="246"/>
      <c r="V23" s="1">
        <f t="shared" si="1"/>
        <v>8905.52</v>
      </c>
      <c r="W23" s="1">
        <f t="shared" si="1"/>
        <v>8905.52</v>
      </c>
      <c r="X23" s="1">
        <f t="shared" si="1"/>
        <v>0</v>
      </c>
      <c r="Z23" s="1">
        <f t="shared" si="0"/>
        <v>5661</v>
      </c>
      <c r="AA23" s="1">
        <f t="shared" si="0"/>
        <v>5661</v>
      </c>
      <c r="AB23" s="1">
        <f t="shared" si="0"/>
        <v>0</v>
      </c>
      <c r="AD23" s="247">
        <v>0</v>
      </c>
      <c r="AE23" s="247">
        <v>0</v>
      </c>
      <c r="AF23" s="247">
        <v>0</v>
      </c>
      <c r="AG23" s="246"/>
      <c r="AH23" s="540"/>
    </row>
    <row r="24" spans="1:34" x14ac:dyDescent="0.2">
      <c r="A24" s="8">
        <v>11400</v>
      </c>
      <c r="B24" s="8" t="s">
        <v>94</v>
      </c>
      <c r="C24" s="8" t="s">
        <v>42</v>
      </c>
      <c r="D24" s="29" t="s">
        <v>1</v>
      </c>
      <c r="E24" s="246"/>
      <c r="F24" s="1">
        <v>0</v>
      </c>
      <c r="G24" s="1">
        <v>0</v>
      </c>
      <c r="H24" s="1">
        <v>0</v>
      </c>
      <c r="I24" s="246"/>
      <c r="J24" s="1">
        <v>0</v>
      </c>
      <c r="K24" s="1">
        <v>0</v>
      </c>
      <c r="L24" s="1">
        <v>0</v>
      </c>
      <c r="M24" s="539"/>
      <c r="N24" s="1">
        <v>394.83</v>
      </c>
      <c r="O24" s="1">
        <v>394.83</v>
      </c>
      <c r="P24" s="1">
        <v>0</v>
      </c>
      <c r="Q24" s="246"/>
      <c r="R24" s="1">
        <v>0</v>
      </c>
      <c r="S24" s="1">
        <v>0</v>
      </c>
      <c r="T24" s="1">
        <v>0</v>
      </c>
      <c r="U24" s="246"/>
      <c r="V24" s="1">
        <f t="shared" si="1"/>
        <v>394.83</v>
      </c>
      <c r="W24" s="1">
        <f t="shared" si="1"/>
        <v>394.83</v>
      </c>
      <c r="X24" s="1">
        <f t="shared" si="1"/>
        <v>0</v>
      </c>
      <c r="Z24" s="1">
        <f t="shared" si="0"/>
        <v>0</v>
      </c>
      <c r="AA24" s="1">
        <f t="shared" si="0"/>
        <v>0</v>
      </c>
      <c r="AB24" s="1">
        <f t="shared" si="0"/>
        <v>0</v>
      </c>
      <c r="AD24" s="247"/>
      <c r="AE24" s="247"/>
      <c r="AF24" s="247"/>
      <c r="AG24" s="246"/>
      <c r="AH24" s="540"/>
    </row>
    <row r="25" spans="1:34" x14ac:dyDescent="0.2">
      <c r="A25" s="8">
        <v>11450</v>
      </c>
      <c r="B25" s="8" t="s">
        <v>76</v>
      </c>
      <c r="C25" s="8" t="s">
        <v>193</v>
      </c>
      <c r="D25" s="29" t="s">
        <v>3</v>
      </c>
      <c r="E25" s="246"/>
      <c r="F25" s="1">
        <v>13478.45</v>
      </c>
      <c r="G25" s="1">
        <v>13088.980000000001</v>
      </c>
      <c r="H25" s="1">
        <v>389.47</v>
      </c>
      <c r="I25" s="246"/>
      <c r="J25" s="1">
        <v>0</v>
      </c>
      <c r="K25" s="1">
        <v>0</v>
      </c>
      <c r="L25" s="1">
        <v>0</v>
      </c>
      <c r="M25" s="539"/>
      <c r="N25" s="1">
        <v>0</v>
      </c>
      <c r="O25" s="1">
        <v>0</v>
      </c>
      <c r="P25" s="1">
        <v>0</v>
      </c>
      <c r="Q25" s="246"/>
      <c r="R25" s="1">
        <v>0</v>
      </c>
      <c r="S25" s="1">
        <v>0</v>
      </c>
      <c r="T25" s="1">
        <v>0</v>
      </c>
      <c r="U25" s="246"/>
      <c r="V25" s="1">
        <f t="shared" si="1"/>
        <v>13478.45</v>
      </c>
      <c r="W25" s="1">
        <f t="shared" si="1"/>
        <v>13088.980000000001</v>
      </c>
      <c r="X25" s="1">
        <f t="shared" si="1"/>
        <v>389.47</v>
      </c>
      <c r="Z25" s="1">
        <f t="shared" si="0"/>
        <v>13478.45</v>
      </c>
      <c r="AA25" s="1">
        <f t="shared" si="0"/>
        <v>13088.980000000001</v>
      </c>
      <c r="AB25" s="1">
        <f t="shared" si="0"/>
        <v>389.47</v>
      </c>
      <c r="AD25" s="247">
        <v>189.26</v>
      </c>
      <c r="AE25" s="247">
        <v>189</v>
      </c>
      <c r="AF25" s="247">
        <v>0</v>
      </c>
      <c r="AG25" s="246"/>
      <c r="AH25" s="540"/>
    </row>
    <row r="26" spans="1:34" x14ac:dyDescent="0.2">
      <c r="A26" s="8">
        <v>11500</v>
      </c>
      <c r="B26" s="8" t="s">
        <v>53</v>
      </c>
      <c r="C26" s="8" t="s">
        <v>193</v>
      </c>
      <c r="D26" s="29" t="s">
        <v>3</v>
      </c>
      <c r="E26" s="246"/>
      <c r="F26" s="1">
        <v>19111.18</v>
      </c>
      <c r="G26" s="1">
        <v>18890.080000000002</v>
      </c>
      <c r="H26" s="1">
        <v>221.1</v>
      </c>
      <c r="I26" s="246"/>
      <c r="J26" s="1">
        <v>0</v>
      </c>
      <c r="K26" s="1">
        <v>0</v>
      </c>
      <c r="L26" s="1">
        <v>0</v>
      </c>
      <c r="M26" s="539"/>
      <c r="N26" s="1">
        <v>0</v>
      </c>
      <c r="O26" s="1">
        <v>0</v>
      </c>
      <c r="P26" s="1">
        <v>0</v>
      </c>
      <c r="Q26" s="246"/>
      <c r="R26" s="1">
        <v>0</v>
      </c>
      <c r="S26" s="1">
        <v>0</v>
      </c>
      <c r="T26" s="1">
        <v>0</v>
      </c>
      <c r="U26" s="246"/>
      <c r="V26" s="1">
        <f t="shared" si="1"/>
        <v>19111.18</v>
      </c>
      <c r="W26" s="1">
        <f t="shared" si="1"/>
        <v>18890.080000000002</v>
      </c>
      <c r="X26" s="1">
        <f t="shared" si="1"/>
        <v>221.1</v>
      </c>
      <c r="Z26" s="1">
        <f t="shared" si="0"/>
        <v>19111.18</v>
      </c>
      <c r="AA26" s="1">
        <f t="shared" si="0"/>
        <v>18890.080000000002</v>
      </c>
      <c r="AB26" s="1">
        <f t="shared" si="0"/>
        <v>221.1</v>
      </c>
      <c r="AD26" s="247">
        <v>0</v>
      </c>
      <c r="AE26" s="247">
        <v>0</v>
      </c>
      <c r="AF26" s="247">
        <v>0</v>
      </c>
      <c r="AG26" s="246"/>
      <c r="AH26" s="540"/>
    </row>
    <row r="27" spans="1:34" x14ac:dyDescent="0.2">
      <c r="A27" s="8">
        <v>11520</v>
      </c>
      <c r="B27" s="8" t="s">
        <v>95</v>
      </c>
      <c r="C27" s="8" t="s">
        <v>18</v>
      </c>
      <c r="D27" s="29" t="s">
        <v>3</v>
      </c>
      <c r="E27" s="246"/>
      <c r="F27" s="1">
        <v>4946</v>
      </c>
      <c r="G27" s="1">
        <v>4897</v>
      </c>
      <c r="H27" s="1">
        <v>49</v>
      </c>
      <c r="I27" s="246"/>
      <c r="J27" s="1">
        <v>0</v>
      </c>
      <c r="K27" s="1">
        <v>0</v>
      </c>
      <c r="L27" s="1">
        <v>0</v>
      </c>
      <c r="M27" s="539"/>
      <c r="N27" s="1">
        <v>0</v>
      </c>
      <c r="O27" s="1">
        <v>0</v>
      </c>
      <c r="P27" s="1">
        <v>0</v>
      </c>
      <c r="Q27" s="246"/>
      <c r="R27" s="1">
        <v>96</v>
      </c>
      <c r="S27" s="1">
        <v>95</v>
      </c>
      <c r="T27" s="1">
        <v>1</v>
      </c>
      <c r="U27" s="246"/>
      <c r="V27" s="1">
        <f t="shared" si="1"/>
        <v>5042</v>
      </c>
      <c r="W27" s="1">
        <f t="shared" si="1"/>
        <v>4992</v>
      </c>
      <c r="X27" s="1">
        <f t="shared" si="1"/>
        <v>50</v>
      </c>
      <c r="Z27" s="1">
        <f t="shared" si="0"/>
        <v>4946</v>
      </c>
      <c r="AA27" s="1">
        <f t="shared" si="0"/>
        <v>4897</v>
      </c>
      <c r="AB27" s="1">
        <f t="shared" si="0"/>
        <v>49</v>
      </c>
      <c r="AD27" s="247">
        <v>112.8</v>
      </c>
      <c r="AE27" s="247">
        <v>111</v>
      </c>
      <c r="AF27" s="247">
        <v>1.1200000000000001</v>
      </c>
      <c r="AG27" s="246"/>
      <c r="AH27" s="540"/>
    </row>
    <row r="28" spans="1:34" x14ac:dyDescent="0.2">
      <c r="A28" s="8">
        <v>11570</v>
      </c>
      <c r="B28" s="8" t="s">
        <v>96</v>
      </c>
      <c r="C28" s="8" t="s">
        <v>18</v>
      </c>
      <c r="D28" s="29" t="s">
        <v>3</v>
      </c>
      <c r="E28" s="246"/>
      <c r="F28" s="1">
        <v>28421</v>
      </c>
      <c r="G28" s="1">
        <v>28421</v>
      </c>
      <c r="H28" s="1">
        <v>0</v>
      </c>
      <c r="I28" s="246"/>
      <c r="J28" s="1">
        <v>0</v>
      </c>
      <c r="K28" s="1">
        <v>0</v>
      </c>
      <c r="L28" s="1">
        <v>0</v>
      </c>
      <c r="M28" s="539"/>
      <c r="N28" s="1">
        <v>0</v>
      </c>
      <c r="O28" s="1">
        <v>0</v>
      </c>
      <c r="P28" s="1">
        <v>0</v>
      </c>
      <c r="Q28" s="246"/>
      <c r="R28" s="1">
        <v>0</v>
      </c>
      <c r="S28" s="1">
        <v>0</v>
      </c>
      <c r="T28" s="1">
        <v>0</v>
      </c>
      <c r="U28" s="246"/>
      <c r="V28" s="1">
        <f t="shared" si="1"/>
        <v>28421</v>
      </c>
      <c r="W28" s="1">
        <f t="shared" si="1"/>
        <v>28421</v>
      </c>
      <c r="X28" s="1">
        <f t="shared" si="1"/>
        <v>0</v>
      </c>
      <c r="Z28" s="1">
        <f t="shared" si="0"/>
        <v>28421</v>
      </c>
      <c r="AA28" s="1">
        <f t="shared" si="0"/>
        <v>28421</v>
      </c>
      <c r="AB28" s="1">
        <f t="shared" si="0"/>
        <v>0</v>
      </c>
      <c r="AD28" s="247">
        <v>0</v>
      </c>
      <c r="AE28" s="247">
        <v>0</v>
      </c>
      <c r="AF28" s="247">
        <v>0</v>
      </c>
      <c r="AG28" s="246"/>
      <c r="AH28" s="540"/>
    </row>
    <row r="29" spans="1:34" x14ac:dyDescent="0.2">
      <c r="A29" s="8">
        <v>11600</v>
      </c>
      <c r="B29" s="8" t="s">
        <v>97</v>
      </c>
      <c r="C29" s="8" t="s">
        <v>75</v>
      </c>
      <c r="D29" s="29" t="s">
        <v>1</v>
      </c>
      <c r="E29" s="246"/>
      <c r="F29" s="1">
        <v>0</v>
      </c>
      <c r="G29" s="1">
        <v>0</v>
      </c>
      <c r="H29" s="1">
        <v>0</v>
      </c>
      <c r="I29" s="246"/>
      <c r="J29" s="1">
        <v>0</v>
      </c>
      <c r="K29" s="1">
        <v>0</v>
      </c>
      <c r="L29" s="1">
        <v>0</v>
      </c>
      <c r="M29" s="539"/>
      <c r="N29" s="1">
        <v>393.19</v>
      </c>
      <c r="O29" s="1">
        <v>393.19</v>
      </c>
      <c r="P29" s="1">
        <v>0</v>
      </c>
      <c r="Q29" s="246"/>
      <c r="R29" s="1">
        <v>0</v>
      </c>
      <c r="S29" s="1">
        <v>0</v>
      </c>
      <c r="T29" s="1">
        <v>0</v>
      </c>
      <c r="U29" s="246"/>
      <c r="V29" s="1">
        <f t="shared" si="1"/>
        <v>393.19</v>
      </c>
      <c r="W29" s="1">
        <f t="shared" si="1"/>
        <v>393.19</v>
      </c>
      <c r="X29" s="1">
        <f t="shared" si="1"/>
        <v>0</v>
      </c>
      <c r="Z29" s="1">
        <f t="shared" si="0"/>
        <v>0</v>
      </c>
      <c r="AA29" s="1">
        <f t="shared" si="0"/>
        <v>0</v>
      </c>
      <c r="AB29" s="1">
        <f t="shared" si="0"/>
        <v>0</v>
      </c>
      <c r="AD29" s="247">
        <v>0</v>
      </c>
      <c r="AE29" s="247">
        <v>0</v>
      </c>
      <c r="AF29" s="247">
        <v>0</v>
      </c>
      <c r="AG29" s="246"/>
      <c r="AH29" s="540"/>
    </row>
    <row r="30" spans="1:34" x14ac:dyDescent="0.2">
      <c r="A30" s="8">
        <v>11650</v>
      </c>
      <c r="B30" s="8" t="s">
        <v>98</v>
      </c>
      <c r="C30" s="8" t="s">
        <v>25</v>
      </c>
      <c r="D30" s="29" t="s">
        <v>2</v>
      </c>
      <c r="E30" s="246"/>
      <c r="F30" s="1">
        <v>42368</v>
      </c>
      <c r="G30" s="1">
        <v>42278</v>
      </c>
      <c r="H30" s="1">
        <v>90</v>
      </c>
      <c r="I30" s="246"/>
      <c r="J30" s="1">
        <v>0</v>
      </c>
      <c r="K30" s="1">
        <v>0</v>
      </c>
      <c r="L30" s="1">
        <v>0</v>
      </c>
      <c r="M30" s="539"/>
      <c r="N30" s="1">
        <v>3498</v>
      </c>
      <c r="O30" s="1">
        <v>3498</v>
      </c>
      <c r="P30" s="1">
        <v>0</v>
      </c>
      <c r="Q30" s="246"/>
      <c r="R30" s="1">
        <v>4495</v>
      </c>
      <c r="S30" s="1">
        <v>4495</v>
      </c>
      <c r="T30" s="1">
        <v>0</v>
      </c>
      <c r="U30" s="246"/>
      <c r="V30" s="1">
        <f t="shared" si="1"/>
        <v>50361</v>
      </c>
      <c r="W30" s="1">
        <f t="shared" si="1"/>
        <v>50271</v>
      </c>
      <c r="X30" s="1">
        <f t="shared" si="1"/>
        <v>90</v>
      </c>
      <c r="Z30" s="1">
        <f t="shared" si="0"/>
        <v>42368</v>
      </c>
      <c r="AA30" s="1">
        <f t="shared" si="0"/>
        <v>42278</v>
      </c>
      <c r="AB30" s="1">
        <f t="shared" si="0"/>
        <v>90</v>
      </c>
      <c r="AD30" s="247">
        <v>0</v>
      </c>
      <c r="AE30" s="247">
        <v>0</v>
      </c>
      <c r="AF30" s="247">
        <v>0</v>
      </c>
      <c r="AG30" s="246"/>
      <c r="AH30" s="540"/>
    </row>
    <row r="31" spans="1:34" x14ac:dyDescent="0.2">
      <c r="A31" s="8">
        <v>11700</v>
      </c>
      <c r="B31" s="8" t="s">
        <v>99</v>
      </c>
      <c r="C31" s="8" t="s">
        <v>42</v>
      </c>
      <c r="D31" s="29" t="s">
        <v>1</v>
      </c>
      <c r="E31" s="246"/>
      <c r="F31" s="1">
        <v>0</v>
      </c>
      <c r="G31" s="1">
        <v>0</v>
      </c>
      <c r="H31" s="1">
        <v>0</v>
      </c>
      <c r="I31" s="246"/>
      <c r="J31" s="1">
        <v>0</v>
      </c>
      <c r="K31" s="1">
        <v>0</v>
      </c>
      <c r="L31" s="1">
        <v>0</v>
      </c>
      <c r="M31" s="539"/>
      <c r="N31" s="1">
        <v>50</v>
      </c>
      <c r="O31" s="1">
        <v>50</v>
      </c>
      <c r="P31" s="1">
        <v>0</v>
      </c>
      <c r="Q31" s="246"/>
      <c r="R31" s="1">
        <v>0</v>
      </c>
      <c r="S31" s="1">
        <v>0</v>
      </c>
      <c r="T31" s="1">
        <v>0</v>
      </c>
      <c r="U31" s="246"/>
      <c r="V31" s="1">
        <f t="shared" si="1"/>
        <v>50</v>
      </c>
      <c r="W31" s="1">
        <f t="shared" si="1"/>
        <v>50</v>
      </c>
      <c r="X31" s="1">
        <f t="shared" si="1"/>
        <v>0</v>
      </c>
      <c r="Z31" s="1">
        <f t="shared" si="0"/>
        <v>0</v>
      </c>
      <c r="AA31" s="1">
        <f t="shared" si="0"/>
        <v>0</v>
      </c>
      <c r="AB31" s="1">
        <f t="shared" si="0"/>
        <v>0</v>
      </c>
      <c r="AD31" s="247">
        <v>0</v>
      </c>
      <c r="AE31" s="247">
        <v>0</v>
      </c>
      <c r="AF31" s="247">
        <v>0</v>
      </c>
      <c r="AG31" s="246"/>
      <c r="AH31" s="540"/>
    </row>
    <row r="32" spans="1:34" x14ac:dyDescent="0.2">
      <c r="A32" s="8">
        <v>11720</v>
      </c>
      <c r="B32" s="8" t="s">
        <v>100</v>
      </c>
      <c r="C32" s="8" t="s">
        <v>25</v>
      </c>
      <c r="D32" s="29" t="s">
        <v>2</v>
      </c>
      <c r="E32" s="246"/>
      <c r="F32" s="1">
        <v>7223.17</v>
      </c>
      <c r="G32" s="1">
        <v>7214.61</v>
      </c>
      <c r="H32" s="1">
        <v>8.56</v>
      </c>
      <c r="I32" s="246"/>
      <c r="J32" s="1">
        <v>0</v>
      </c>
      <c r="K32" s="1">
        <v>0</v>
      </c>
      <c r="L32" s="1">
        <v>0</v>
      </c>
      <c r="M32" s="539"/>
      <c r="N32" s="1">
        <v>1616.68</v>
      </c>
      <c r="O32" s="1">
        <v>1616.68</v>
      </c>
      <c r="P32" s="1">
        <v>0</v>
      </c>
      <c r="Q32" s="246"/>
      <c r="R32" s="1">
        <v>0</v>
      </c>
      <c r="S32" s="1">
        <v>0</v>
      </c>
      <c r="T32" s="1">
        <v>0</v>
      </c>
      <c r="U32" s="246"/>
      <c r="V32" s="1">
        <f t="shared" si="1"/>
        <v>8839.85</v>
      </c>
      <c r="W32" s="1">
        <f t="shared" si="1"/>
        <v>8831.2899999999991</v>
      </c>
      <c r="X32" s="1">
        <f t="shared" si="1"/>
        <v>8.56</v>
      </c>
      <c r="Z32" s="1">
        <f t="shared" si="0"/>
        <v>7223.17</v>
      </c>
      <c r="AA32" s="1">
        <f t="shared" si="0"/>
        <v>7214.61</v>
      </c>
      <c r="AB32" s="1">
        <f t="shared" si="0"/>
        <v>8.56</v>
      </c>
      <c r="AD32" s="247">
        <v>161.18</v>
      </c>
      <c r="AE32" s="247">
        <v>161</v>
      </c>
      <c r="AF32" s="247">
        <v>0</v>
      </c>
      <c r="AG32" s="246"/>
      <c r="AH32" s="540"/>
    </row>
    <row r="33" spans="1:34" x14ac:dyDescent="0.2">
      <c r="A33" s="8">
        <v>11730</v>
      </c>
      <c r="B33" s="8" t="s">
        <v>101</v>
      </c>
      <c r="C33" s="8" t="s">
        <v>20</v>
      </c>
      <c r="D33" s="29" t="s">
        <v>4</v>
      </c>
      <c r="E33" s="246"/>
      <c r="F33" s="1">
        <v>0</v>
      </c>
      <c r="G33" s="1">
        <v>0</v>
      </c>
      <c r="H33" s="1">
        <v>0</v>
      </c>
      <c r="I33" s="246"/>
      <c r="J33" s="1">
        <v>8506</v>
      </c>
      <c r="K33" s="1">
        <v>8421</v>
      </c>
      <c r="L33" s="1">
        <v>85</v>
      </c>
      <c r="M33" s="539"/>
      <c r="N33" s="1">
        <v>2101</v>
      </c>
      <c r="O33" s="1">
        <v>2101</v>
      </c>
      <c r="P33" s="1">
        <v>0</v>
      </c>
      <c r="Q33" s="246"/>
      <c r="R33" s="1">
        <v>0</v>
      </c>
      <c r="S33" s="1">
        <v>0</v>
      </c>
      <c r="T33" s="1">
        <v>0</v>
      </c>
      <c r="U33" s="246"/>
      <c r="V33" s="1">
        <f t="shared" si="1"/>
        <v>10607</v>
      </c>
      <c r="W33" s="1">
        <f t="shared" si="1"/>
        <v>10522</v>
      </c>
      <c r="X33" s="1">
        <f t="shared" si="1"/>
        <v>85</v>
      </c>
      <c r="Z33" s="1">
        <f t="shared" si="0"/>
        <v>8506</v>
      </c>
      <c r="AA33" s="1">
        <f t="shared" si="0"/>
        <v>8421</v>
      </c>
      <c r="AB33" s="1">
        <f t="shared" si="0"/>
        <v>85</v>
      </c>
      <c r="AD33" s="247">
        <v>0</v>
      </c>
      <c r="AE33" s="247">
        <v>0</v>
      </c>
      <c r="AF33" s="247">
        <v>0</v>
      </c>
      <c r="AG33" s="246"/>
      <c r="AH33" s="540"/>
    </row>
    <row r="34" spans="1:34" x14ac:dyDescent="0.2">
      <c r="A34" s="8">
        <v>11750</v>
      </c>
      <c r="B34" s="8" t="s">
        <v>102</v>
      </c>
      <c r="C34" s="8" t="s">
        <v>42</v>
      </c>
      <c r="D34" s="29" t="s">
        <v>1</v>
      </c>
      <c r="E34" s="246"/>
      <c r="F34" s="1">
        <v>0</v>
      </c>
      <c r="G34" s="1">
        <v>0</v>
      </c>
      <c r="H34" s="1">
        <v>0</v>
      </c>
      <c r="I34" s="246"/>
      <c r="J34" s="1">
        <v>0</v>
      </c>
      <c r="K34" s="1">
        <v>0</v>
      </c>
      <c r="L34" s="1">
        <v>0</v>
      </c>
      <c r="M34" s="539"/>
      <c r="N34" s="1">
        <v>40</v>
      </c>
      <c r="O34" s="1">
        <v>0</v>
      </c>
      <c r="P34" s="1">
        <v>40</v>
      </c>
      <c r="Q34" s="246"/>
      <c r="R34" s="1">
        <v>0</v>
      </c>
      <c r="S34" s="1">
        <v>0</v>
      </c>
      <c r="T34" s="1">
        <v>0</v>
      </c>
      <c r="U34" s="246"/>
      <c r="V34" s="1">
        <f t="shared" si="1"/>
        <v>40</v>
      </c>
      <c r="W34" s="1">
        <f t="shared" si="1"/>
        <v>0</v>
      </c>
      <c r="X34" s="1">
        <f t="shared" si="1"/>
        <v>40</v>
      </c>
      <c r="Z34" s="1">
        <f t="shared" si="0"/>
        <v>0</v>
      </c>
      <c r="AA34" s="1">
        <f t="shared" si="0"/>
        <v>0</v>
      </c>
      <c r="AB34" s="1">
        <f t="shared" si="0"/>
        <v>0</v>
      </c>
      <c r="AD34" s="247"/>
      <c r="AE34" s="247"/>
      <c r="AF34" s="247"/>
      <c r="AG34" s="246"/>
      <c r="AH34" s="540"/>
    </row>
    <row r="35" spans="1:34" x14ac:dyDescent="0.2">
      <c r="A35" s="8">
        <v>11800</v>
      </c>
      <c r="B35" s="8" t="s">
        <v>49</v>
      </c>
      <c r="C35" s="8" t="s">
        <v>43</v>
      </c>
      <c r="D35" s="29" t="s">
        <v>4</v>
      </c>
      <c r="E35" s="246"/>
      <c r="F35" s="1">
        <v>0</v>
      </c>
      <c r="G35" s="1">
        <v>0</v>
      </c>
      <c r="H35" s="1">
        <v>0</v>
      </c>
      <c r="I35" s="246"/>
      <c r="J35" s="1">
        <v>12813</v>
      </c>
      <c r="K35" s="1">
        <v>12558</v>
      </c>
      <c r="L35" s="1">
        <v>255</v>
      </c>
      <c r="M35" s="539"/>
      <c r="N35" s="1">
        <v>2315</v>
      </c>
      <c r="O35" s="1">
        <v>2315</v>
      </c>
      <c r="P35" s="1">
        <v>0</v>
      </c>
      <c r="Q35" s="246"/>
      <c r="R35" s="1">
        <v>0</v>
      </c>
      <c r="S35" s="1">
        <v>0</v>
      </c>
      <c r="T35" s="1">
        <v>0</v>
      </c>
      <c r="U35" s="246"/>
      <c r="V35" s="1">
        <f t="shared" si="1"/>
        <v>15128</v>
      </c>
      <c r="W35" s="1">
        <f t="shared" si="1"/>
        <v>14873</v>
      </c>
      <c r="X35" s="1">
        <f t="shared" si="1"/>
        <v>255</v>
      </c>
      <c r="Z35" s="1">
        <f t="shared" si="0"/>
        <v>12813</v>
      </c>
      <c r="AA35" s="1">
        <f t="shared" si="0"/>
        <v>12558</v>
      </c>
      <c r="AB35" s="1">
        <f t="shared" si="0"/>
        <v>255</v>
      </c>
      <c r="AD35" s="247">
        <v>0</v>
      </c>
      <c r="AE35" s="247">
        <v>0</v>
      </c>
      <c r="AF35" s="247">
        <v>0</v>
      </c>
      <c r="AG35" s="246"/>
      <c r="AH35" s="540"/>
    </row>
    <row r="36" spans="1:34" x14ac:dyDescent="0.2">
      <c r="A36" s="8">
        <v>12000</v>
      </c>
      <c r="B36" s="8" t="s">
        <v>103</v>
      </c>
      <c r="C36" s="8" t="s">
        <v>22</v>
      </c>
      <c r="D36" s="29" t="s">
        <v>1</v>
      </c>
      <c r="E36" s="246"/>
      <c r="F36" s="1">
        <v>0</v>
      </c>
      <c r="G36" s="1">
        <v>0</v>
      </c>
      <c r="H36" s="1">
        <v>0</v>
      </c>
      <c r="I36" s="246"/>
      <c r="J36" s="1">
        <v>239.08</v>
      </c>
      <c r="K36" s="1">
        <v>239.08</v>
      </c>
      <c r="L36" s="1">
        <v>0</v>
      </c>
      <c r="M36" s="539"/>
      <c r="N36" s="1">
        <v>610.19000000000005</v>
      </c>
      <c r="O36" s="1">
        <v>610.19000000000005</v>
      </c>
      <c r="P36" s="1">
        <v>0</v>
      </c>
      <c r="Q36" s="246"/>
      <c r="R36" s="1">
        <v>2</v>
      </c>
      <c r="S36" s="1">
        <v>2</v>
      </c>
      <c r="T36" s="1">
        <v>0</v>
      </c>
      <c r="U36" s="246"/>
      <c r="V36" s="1">
        <f t="shared" si="1"/>
        <v>851.2700000000001</v>
      </c>
      <c r="W36" s="1">
        <f t="shared" si="1"/>
        <v>851.2700000000001</v>
      </c>
      <c r="X36" s="1">
        <f t="shared" si="1"/>
        <v>0</v>
      </c>
      <c r="Z36" s="1">
        <f t="shared" si="0"/>
        <v>239.08</v>
      </c>
      <c r="AA36" s="1">
        <f t="shared" si="0"/>
        <v>239.08</v>
      </c>
      <c r="AB36" s="1">
        <f t="shared" si="0"/>
        <v>0</v>
      </c>
      <c r="AD36" s="247"/>
      <c r="AE36" s="247"/>
      <c r="AF36" s="247"/>
      <c r="AG36" s="246"/>
      <c r="AH36" s="540"/>
    </row>
    <row r="37" spans="1:34" x14ac:dyDescent="0.2">
      <c r="A37" s="8">
        <v>12150</v>
      </c>
      <c r="B37" s="8" t="s">
        <v>104</v>
      </c>
      <c r="C37" s="8" t="s">
        <v>42</v>
      </c>
      <c r="D37" s="29" t="s">
        <v>1</v>
      </c>
      <c r="E37" s="246"/>
      <c r="F37" s="1">
        <v>0</v>
      </c>
      <c r="G37" s="1">
        <v>0</v>
      </c>
      <c r="H37" s="1">
        <v>0</v>
      </c>
      <c r="I37" s="246"/>
      <c r="J37" s="1">
        <v>0</v>
      </c>
      <c r="K37" s="1">
        <v>0</v>
      </c>
      <c r="L37" s="1">
        <v>0</v>
      </c>
      <c r="M37" s="539"/>
      <c r="N37" s="1">
        <v>450</v>
      </c>
      <c r="O37" s="1">
        <v>450</v>
      </c>
      <c r="P37" s="1">
        <v>0</v>
      </c>
      <c r="Q37" s="246"/>
      <c r="R37" s="1">
        <v>0</v>
      </c>
      <c r="S37" s="1">
        <v>0</v>
      </c>
      <c r="T37" s="1">
        <v>0</v>
      </c>
      <c r="U37" s="246"/>
      <c r="V37" s="1">
        <f t="shared" si="1"/>
        <v>450</v>
      </c>
      <c r="W37" s="1">
        <f t="shared" si="1"/>
        <v>450</v>
      </c>
      <c r="X37" s="1">
        <f t="shared" si="1"/>
        <v>0</v>
      </c>
      <c r="Z37" s="1">
        <f t="shared" si="0"/>
        <v>0</v>
      </c>
      <c r="AA37" s="1">
        <f t="shared" si="0"/>
        <v>0</v>
      </c>
      <c r="AB37" s="1">
        <f t="shared" si="0"/>
        <v>0</v>
      </c>
      <c r="AD37" s="247"/>
      <c r="AE37" s="247"/>
      <c r="AF37" s="247"/>
      <c r="AG37" s="246"/>
      <c r="AH37" s="540"/>
    </row>
    <row r="38" spans="1:34" x14ac:dyDescent="0.2">
      <c r="A38" s="8">
        <v>12160</v>
      </c>
      <c r="B38" s="8" t="s">
        <v>105</v>
      </c>
      <c r="C38" s="8" t="s">
        <v>22</v>
      </c>
      <c r="D38" s="29" t="s">
        <v>1</v>
      </c>
      <c r="E38" s="246"/>
      <c r="F38" s="1">
        <v>644</v>
      </c>
      <c r="G38" s="1">
        <v>644</v>
      </c>
      <c r="H38" s="1">
        <v>0</v>
      </c>
      <c r="I38" s="246"/>
      <c r="J38" s="1">
        <v>304.42</v>
      </c>
      <c r="K38" s="1">
        <v>304.24</v>
      </c>
      <c r="L38" s="1">
        <v>0</v>
      </c>
      <c r="M38" s="539"/>
      <c r="N38" s="1">
        <v>625.53</v>
      </c>
      <c r="O38" s="1">
        <v>625.53</v>
      </c>
      <c r="P38" s="1">
        <v>0</v>
      </c>
      <c r="Q38" s="246"/>
      <c r="R38" s="1">
        <v>0</v>
      </c>
      <c r="S38" s="1">
        <v>0</v>
      </c>
      <c r="T38" s="1">
        <v>0</v>
      </c>
      <c r="U38" s="246"/>
      <c r="V38" s="1">
        <f t="shared" si="1"/>
        <v>1573.95</v>
      </c>
      <c r="W38" s="1">
        <f t="shared" si="1"/>
        <v>1573.77</v>
      </c>
      <c r="X38" s="1">
        <f t="shared" si="1"/>
        <v>0</v>
      </c>
      <c r="Z38" s="1">
        <f t="shared" si="0"/>
        <v>948.42000000000007</v>
      </c>
      <c r="AA38" s="1">
        <f t="shared" si="0"/>
        <v>948.24</v>
      </c>
      <c r="AB38" s="1">
        <f t="shared" si="0"/>
        <v>0</v>
      </c>
      <c r="AD38" s="247">
        <v>1198.3800000000001</v>
      </c>
      <c r="AE38" s="247">
        <v>1198</v>
      </c>
      <c r="AF38" s="247">
        <v>0</v>
      </c>
      <c r="AG38" s="246"/>
      <c r="AH38" s="540"/>
    </row>
    <row r="39" spans="1:34" x14ac:dyDescent="0.2">
      <c r="A39" s="8">
        <v>12350</v>
      </c>
      <c r="B39" s="8" t="s">
        <v>106</v>
      </c>
      <c r="C39" s="8" t="s">
        <v>42</v>
      </c>
      <c r="D39" s="29" t="s">
        <v>1</v>
      </c>
      <c r="E39" s="246"/>
      <c r="F39" s="1">
        <v>0</v>
      </c>
      <c r="G39" s="1">
        <v>0</v>
      </c>
      <c r="H39" s="1">
        <v>0</v>
      </c>
      <c r="I39" s="246"/>
      <c r="J39" s="1">
        <v>0</v>
      </c>
      <c r="K39" s="1">
        <v>0</v>
      </c>
      <c r="L39" s="1">
        <v>0</v>
      </c>
      <c r="M39" s="539"/>
      <c r="N39" s="1">
        <v>1294.1099999999999</v>
      </c>
      <c r="O39" s="1">
        <v>0</v>
      </c>
      <c r="P39" s="1">
        <v>1294.1099999999999</v>
      </c>
      <c r="Q39" s="246"/>
      <c r="R39" s="1">
        <v>0</v>
      </c>
      <c r="S39" s="1">
        <v>0</v>
      </c>
      <c r="T39" s="1">
        <v>0</v>
      </c>
      <c r="U39" s="246"/>
      <c r="V39" s="1">
        <f t="shared" si="1"/>
        <v>1294.1099999999999</v>
      </c>
      <c r="W39" s="1">
        <f t="shared" si="1"/>
        <v>0</v>
      </c>
      <c r="X39" s="1">
        <f t="shared" si="1"/>
        <v>1294.1099999999999</v>
      </c>
      <c r="Z39" s="1">
        <f t="shared" si="0"/>
        <v>0</v>
      </c>
      <c r="AA39" s="1">
        <f t="shared" si="0"/>
        <v>0</v>
      </c>
      <c r="AB39" s="1">
        <f t="shared" si="0"/>
        <v>0</v>
      </c>
      <c r="AD39" s="247"/>
      <c r="AE39" s="247"/>
      <c r="AF39" s="247"/>
      <c r="AG39" s="246"/>
      <c r="AH39" s="540"/>
    </row>
    <row r="40" spans="1:34" x14ac:dyDescent="0.2">
      <c r="A40" s="8">
        <v>12380</v>
      </c>
      <c r="B40" s="8" t="s">
        <v>54</v>
      </c>
      <c r="C40" s="8" t="s">
        <v>19</v>
      </c>
      <c r="D40" s="29" t="s">
        <v>3</v>
      </c>
      <c r="E40" s="246"/>
      <c r="F40" s="1">
        <v>9536</v>
      </c>
      <c r="G40" s="1">
        <v>9536</v>
      </c>
      <c r="H40" s="1">
        <v>0</v>
      </c>
      <c r="I40" s="246"/>
      <c r="J40" s="1">
        <v>0</v>
      </c>
      <c r="K40" s="1">
        <v>0</v>
      </c>
      <c r="L40" s="1">
        <v>0</v>
      </c>
      <c r="M40" s="539"/>
      <c r="N40" s="1">
        <v>0</v>
      </c>
      <c r="O40" s="1">
        <v>0</v>
      </c>
      <c r="P40" s="1">
        <v>0</v>
      </c>
      <c r="Q40" s="246"/>
      <c r="R40" s="1">
        <v>0</v>
      </c>
      <c r="S40" s="1">
        <v>0</v>
      </c>
      <c r="T40" s="1">
        <v>0</v>
      </c>
      <c r="U40" s="246"/>
      <c r="V40" s="1">
        <f t="shared" si="1"/>
        <v>9536</v>
      </c>
      <c r="W40" s="1">
        <f t="shared" si="1"/>
        <v>9536</v>
      </c>
      <c r="X40" s="1">
        <f t="shared" si="1"/>
        <v>0</v>
      </c>
      <c r="Z40" s="1">
        <f t="shared" si="0"/>
        <v>9536</v>
      </c>
      <c r="AA40" s="1">
        <f t="shared" si="0"/>
        <v>9536</v>
      </c>
      <c r="AB40" s="1">
        <f t="shared" si="0"/>
        <v>0</v>
      </c>
      <c r="AD40" s="247">
        <v>0</v>
      </c>
      <c r="AE40" s="247">
        <v>0</v>
      </c>
      <c r="AF40" s="247">
        <v>0</v>
      </c>
      <c r="AG40" s="246"/>
      <c r="AH40" s="540"/>
    </row>
    <row r="41" spans="1:34" x14ac:dyDescent="0.2">
      <c r="A41" s="8">
        <v>12390</v>
      </c>
      <c r="B41" s="8" t="s">
        <v>107</v>
      </c>
      <c r="C41" s="8" t="s">
        <v>42</v>
      </c>
      <c r="D41" s="29" t="s">
        <v>1</v>
      </c>
      <c r="E41" s="246"/>
      <c r="F41" s="1">
        <v>0</v>
      </c>
      <c r="G41" s="1">
        <v>0</v>
      </c>
      <c r="H41" s="1">
        <v>0</v>
      </c>
      <c r="I41" s="246"/>
      <c r="J41" s="1">
        <v>6881.33</v>
      </c>
      <c r="K41" s="1">
        <v>6857.97</v>
      </c>
      <c r="L41" s="1">
        <v>23.36</v>
      </c>
      <c r="M41" s="539"/>
      <c r="N41" s="1">
        <v>0</v>
      </c>
      <c r="O41" s="1">
        <v>0</v>
      </c>
      <c r="P41" s="1">
        <v>0</v>
      </c>
      <c r="Q41" s="246"/>
      <c r="R41" s="1">
        <v>24.96</v>
      </c>
      <c r="S41" s="1">
        <v>24.96</v>
      </c>
      <c r="T41" s="1">
        <v>0</v>
      </c>
      <c r="U41" s="246"/>
      <c r="V41" s="1">
        <f t="shared" si="1"/>
        <v>6906.29</v>
      </c>
      <c r="W41" s="1">
        <f t="shared" si="1"/>
        <v>6882.93</v>
      </c>
      <c r="X41" s="1">
        <f t="shared" si="1"/>
        <v>23.36</v>
      </c>
      <c r="Z41" s="1">
        <f t="shared" si="0"/>
        <v>6881.33</v>
      </c>
      <c r="AA41" s="1">
        <f t="shared" si="0"/>
        <v>6857.97</v>
      </c>
      <c r="AB41" s="1">
        <f t="shared" si="0"/>
        <v>23.36</v>
      </c>
      <c r="AD41" s="247">
        <v>0</v>
      </c>
      <c r="AE41" s="247">
        <v>0</v>
      </c>
      <c r="AF41" s="247">
        <v>0</v>
      </c>
      <c r="AG41" s="246"/>
      <c r="AH41" s="540"/>
    </row>
    <row r="42" spans="1:34" x14ac:dyDescent="0.2">
      <c r="A42" s="8">
        <v>12700</v>
      </c>
      <c r="B42" s="8" t="s">
        <v>108</v>
      </c>
      <c r="C42" s="8" t="s">
        <v>25</v>
      </c>
      <c r="D42" s="29" t="s">
        <v>4</v>
      </c>
      <c r="E42" s="246"/>
      <c r="F42" s="1">
        <v>0</v>
      </c>
      <c r="G42" s="1">
        <v>0</v>
      </c>
      <c r="H42" s="1">
        <v>0</v>
      </c>
      <c r="I42" s="246"/>
      <c r="J42" s="1">
        <v>0</v>
      </c>
      <c r="K42" s="1">
        <v>0</v>
      </c>
      <c r="L42" s="1">
        <v>0</v>
      </c>
      <c r="M42" s="539"/>
      <c r="N42" s="1">
        <v>122</v>
      </c>
      <c r="O42" s="1">
        <v>122</v>
      </c>
      <c r="P42" s="1">
        <v>0</v>
      </c>
      <c r="Q42" s="246"/>
      <c r="R42" s="1">
        <v>13</v>
      </c>
      <c r="S42" s="1">
        <v>13</v>
      </c>
      <c r="T42" s="1">
        <v>0</v>
      </c>
      <c r="U42" s="246"/>
      <c r="V42" s="1">
        <f t="shared" si="1"/>
        <v>135</v>
      </c>
      <c r="W42" s="1">
        <f t="shared" si="1"/>
        <v>135</v>
      </c>
      <c r="X42" s="1">
        <f t="shared" si="1"/>
        <v>0</v>
      </c>
      <c r="Z42" s="1">
        <f t="shared" si="0"/>
        <v>0</v>
      </c>
      <c r="AA42" s="1">
        <f t="shared" si="0"/>
        <v>0</v>
      </c>
      <c r="AB42" s="1">
        <f t="shared" si="0"/>
        <v>0</v>
      </c>
      <c r="AD42" s="247">
        <v>56</v>
      </c>
      <c r="AE42" s="247">
        <v>56</v>
      </c>
      <c r="AF42" s="247">
        <v>0</v>
      </c>
      <c r="AG42" s="246"/>
      <c r="AH42" s="540"/>
    </row>
    <row r="43" spans="1:34" x14ac:dyDescent="0.2">
      <c r="A43" s="8">
        <v>12730</v>
      </c>
      <c r="B43" s="8" t="s">
        <v>109</v>
      </c>
      <c r="C43" s="8" t="s">
        <v>73</v>
      </c>
      <c r="D43" s="29" t="s">
        <v>1</v>
      </c>
      <c r="E43" s="246"/>
      <c r="F43" s="1">
        <v>0</v>
      </c>
      <c r="G43" s="1">
        <v>0</v>
      </c>
      <c r="H43" s="1">
        <v>0</v>
      </c>
      <c r="I43" s="246"/>
      <c r="J43" s="1">
        <v>0</v>
      </c>
      <c r="K43" s="1">
        <v>0</v>
      </c>
      <c r="L43" s="1">
        <v>0</v>
      </c>
      <c r="M43" s="539"/>
      <c r="N43" s="1">
        <v>735.48</v>
      </c>
      <c r="O43" s="1">
        <v>0</v>
      </c>
      <c r="P43" s="1">
        <v>735.48</v>
      </c>
      <c r="Q43" s="246"/>
      <c r="R43" s="1">
        <v>0</v>
      </c>
      <c r="S43" s="1">
        <v>0</v>
      </c>
      <c r="T43" s="1">
        <v>0</v>
      </c>
      <c r="U43" s="246"/>
      <c r="V43" s="1">
        <f t="shared" si="1"/>
        <v>735.48</v>
      </c>
      <c r="W43" s="1">
        <f t="shared" si="1"/>
        <v>0</v>
      </c>
      <c r="X43" s="1">
        <f t="shared" si="1"/>
        <v>735.48</v>
      </c>
      <c r="Z43" s="1">
        <f t="shared" si="0"/>
        <v>0</v>
      </c>
      <c r="AA43" s="1">
        <f t="shared" si="0"/>
        <v>0</v>
      </c>
      <c r="AB43" s="1">
        <f t="shared" si="0"/>
        <v>0</v>
      </c>
      <c r="AD43" s="247">
        <v>0</v>
      </c>
      <c r="AE43" s="247">
        <v>0</v>
      </c>
      <c r="AF43" s="247">
        <v>0</v>
      </c>
      <c r="AG43" s="246"/>
      <c r="AH43" s="540"/>
    </row>
    <row r="44" spans="1:34" x14ac:dyDescent="0.2">
      <c r="A44" s="8">
        <v>12750</v>
      </c>
      <c r="B44" s="8" t="s">
        <v>110</v>
      </c>
      <c r="C44" s="8" t="s">
        <v>74</v>
      </c>
      <c r="D44" s="29" t="s">
        <v>1</v>
      </c>
      <c r="E44" s="246"/>
      <c r="F44" s="1">
        <v>5677.24</v>
      </c>
      <c r="G44" s="1">
        <v>5671.04</v>
      </c>
      <c r="H44" s="1">
        <v>6.2</v>
      </c>
      <c r="I44" s="246"/>
      <c r="J44" s="1">
        <v>0</v>
      </c>
      <c r="K44" s="1">
        <v>0</v>
      </c>
      <c r="L44" s="1">
        <v>0</v>
      </c>
      <c r="M44" s="539"/>
      <c r="N44" s="1">
        <v>2084.4699999999998</v>
      </c>
      <c r="O44" s="1">
        <v>2084.4699999999998</v>
      </c>
      <c r="P44" s="1">
        <v>0</v>
      </c>
      <c r="Q44" s="246"/>
      <c r="R44" s="1">
        <v>0</v>
      </c>
      <c r="S44" s="1">
        <v>0</v>
      </c>
      <c r="T44" s="1">
        <v>0</v>
      </c>
      <c r="U44" s="246"/>
      <c r="V44" s="1">
        <f t="shared" si="1"/>
        <v>7761.7099999999991</v>
      </c>
      <c r="W44" s="1">
        <f t="shared" si="1"/>
        <v>7755.51</v>
      </c>
      <c r="X44" s="1">
        <f t="shared" si="1"/>
        <v>6.2</v>
      </c>
      <c r="Z44" s="1">
        <f t="shared" si="0"/>
        <v>5677.24</v>
      </c>
      <c r="AA44" s="1">
        <f t="shared" si="0"/>
        <v>5671.04</v>
      </c>
      <c r="AB44" s="1">
        <f t="shared" si="0"/>
        <v>6.2</v>
      </c>
      <c r="AD44" s="247">
        <v>742.7</v>
      </c>
      <c r="AE44" s="247">
        <v>742</v>
      </c>
      <c r="AF44" s="247">
        <v>0</v>
      </c>
      <c r="AG44" s="246"/>
      <c r="AH44" s="540"/>
    </row>
    <row r="45" spans="1:34" x14ac:dyDescent="0.2">
      <c r="A45" s="8">
        <v>12850</v>
      </c>
      <c r="B45" s="8" t="s">
        <v>111</v>
      </c>
      <c r="C45" s="8" t="s">
        <v>19</v>
      </c>
      <c r="D45" s="29" t="s">
        <v>3</v>
      </c>
      <c r="E45" s="246"/>
      <c r="F45" s="1">
        <v>0</v>
      </c>
      <c r="G45" s="1">
        <v>0</v>
      </c>
      <c r="H45" s="1">
        <v>0</v>
      </c>
      <c r="I45" s="246"/>
      <c r="J45" s="1">
        <v>0</v>
      </c>
      <c r="K45" s="1">
        <v>0</v>
      </c>
      <c r="L45" s="1">
        <v>0</v>
      </c>
      <c r="M45" s="539"/>
      <c r="N45" s="1">
        <v>1153.98</v>
      </c>
      <c r="O45" s="1">
        <v>1153.98</v>
      </c>
      <c r="P45" s="1">
        <v>0</v>
      </c>
      <c r="Q45" s="246"/>
      <c r="R45" s="1">
        <v>0</v>
      </c>
      <c r="S45" s="1">
        <v>0</v>
      </c>
      <c r="T45" s="1">
        <v>0</v>
      </c>
      <c r="U45" s="246"/>
      <c r="V45" s="1">
        <f t="shared" si="1"/>
        <v>1153.98</v>
      </c>
      <c r="W45" s="1">
        <f t="shared" si="1"/>
        <v>1153.98</v>
      </c>
      <c r="X45" s="1">
        <f t="shared" si="1"/>
        <v>0</v>
      </c>
      <c r="Z45" s="1">
        <f t="shared" si="0"/>
        <v>0</v>
      </c>
      <c r="AA45" s="1">
        <f t="shared" si="0"/>
        <v>0</v>
      </c>
      <c r="AB45" s="1">
        <f t="shared" si="0"/>
        <v>0</v>
      </c>
      <c r="AD45" s="247">
        <v>0</v>
      </c>
      <c r="AE45" s="247">
        <v>0</v>
      </c>
      <c r="AF45" s="247">
        <v>0</v>
      </c>
      <c r="AG45" s="246"/>
      <c r="AH45" s="540"/>
    </row>
    <row r="46" spans="1:34" x14ac:dyDescent="0.2">
      <c r="A46" s="8">
        <v>12870</v>
      </c>
      <c r="B46" s="8" t="s">
        <v>112</v>
      </c>
      <c r="C46" s="8" t="s">
        <v>73</v>
      </c>
      <c r="D46" s="29" t="s">
        <v>1</v>
      </c>
      <c r="E46" s="246"/>
      <c r="F46" s="1">
        <v>0</v>
      </c>
      <c r="G46" s="1">
        <v>0</v>
      </c>
      <c r="H46" s="1">
        <v>0</v>
      </c>
      <c r="I46" s="246"/>
      <c r="J46" s="1">
        <v>2716</v>
      </c>
      <c r="K46" s="1">
        <v>2716</v>
      </c>
      <c r="L46" s="1">
        <v>0</v>
      </c>
      <c r="M46" s="539"/>
      <c r="N46" s="1">
        <v>1482</v>
      </c>
      <c r="O46" s="1">
        <v>1482</v>
      </c>
      <c r="P46" s="1">
        <v>0</v>
      </c>
      <c r="Q46" s="246"/>
      <c r="R46" s="1">
        <v>0</v>
      </c>
      <c r="S46" s="1">
        <v>0</v>
      </c>
      <c r="T46" s="1">
        <v>0</v>
      </c>
      <c r="U46" s="246"/>
      <c r="V46" s="1">
        <f t="shared" si="1"/>
        <v>4198</v>
      </c>
      <c r="W46" s="1">
        <f t="shared" si="1"/>
        <v>4198</v>
      </c>
      <c r="X46" s="1">
        <f t="shared" si="1"/>
        <v>0</v>
      </c>
      <c r="Z46" s="1">
        <f t="shared" si="0"/>
        <v>2716</v>
      </c>
      <c r="AA46" s="1">
        <f t="shared" si="0"/>
        <v>2716</v>
      </c>
      <c r="AB46" s="1">
        <f t="shared" si="0"/>
        <v>0</v>
      </c>
      <c r="AD46" s="247"/>
      <c r="AE46" s="247"/>
      <c r="AF46" s="247"/>
      <c r="AG46" s="246"/>
      <c r="AH46" s="540"/>
    </row>
    <row r="47" spans="1:34" x14ac:dyDescent="0.2">
      <c r="A47" s="8">
        <v>12900</v>
      </c>
      <c r="B47" s="8" t="s">
        <v>113</v>
      </c>
      <c r="C47" s="8" t="s">
        <v>42</v>
      </c>
      <c r="D47" s="29" t="s">
        <v>1</v>
      </c>
      <c r="E47" s="246"/>
      <c r="F47" s="1">
        <v>0</v>
      </c>
      <c r="G47" s="1">
        <v>0</v>
      </c>
      <c r="H47" s="1">
        <v>0</v>
      </c>
      <c r="I47" s="246"/>
      <c r="J47" s="1">
        <v>1178.52</v>
      </c>
      <c r="K47" s="1">
        <v>1178.52</v>
      </c>
      <c r="L47" s="1">
        <v>0</v>
      </c>
      <c r="M47" s="539"/>
      <c r="N47" s="1">
        <v>2707.8</v>
      </c>
      <c r="O47" s="1">
        <v>2707.8</v>
      </c>
      <c r="P47" s="1">
        <v>0</v>
      </c>
      <c r="Q47" s="246"/>
      <c r="R47" s="1">
        <v>3.5</v>
      </c>
      <c r="S47" s="1">
        <v>3.5</v>
      </c>
      <c r="T47" s="1">
        <v>0</v>
      </c>
      <c r="U47" s="246"/>
      <c r="V47" s="1">
        <f t="shared" si="1"/>
        <v>3889.82</v>
      </c>
      <c r="W47" s="1">
        <f t="shared" si="1"/>
        <v>3889.82</v>
      </c>
      <c r="X47" s="1">
        <f t="shared" si="1"/>
        <v>0</v>
      </c>
      <c r="Z47" s="1">
        <f t="shared" si="0"/>
        <v>1178.52</v>
      </c>
      <c r="AA47" s="1">
        <f t="shared" si="0"/>
        <v>1178.52</v>
      </c>
      <c r="AB47" s="1">
        <f t="shared" si="0"/>
        <v>0</v>
      </c>
      <c r="AD47" s="247"/>
      <c r="AE47" s="247"/>
      <c r="AF47" s="247"/>
      <c r="AG47" s="246"/>
      <c r="AH47" s="540"/>
    </row>
    <row r="48" spans="1:34" x14ac:dyDescent="0.2">
      <c r="A48" s="8">
        <v>12930</v>
      </c>
      <c r="B48" s="8" t="s">
        <v>55</v>
      </c>
      <c r="C48" s="8" t="s">
        <v>18</v>
      </c>
      <c r="D48" s="29" t="s">
        <v>3</v>
      </c>
      <c r="E48" s="246"/>
      <c r="F48" s="1">
        <v>12958</v>
      </c>
      <c r="G48" s="1">
        <v>12958</v>
      </c>
      <c r="H48" s="1">
        <v>0</v>
      </c>
      <c r="I48" s="246"/>
      <c r="J48" s="1">
        <v>0</v>
      </c>
      <c r="K48" s="1">
        <v>0</v>
      </c>
      <c r="L48" s="1">
        <v>0</v>
      </c>
      <c r="M48" s="539"/>
      <c r="N48" s="1">
        <v>0</v>
      </c>
      <c r="O48" s="1">
        <v>0</v>
      </c>
      <c r="P48" s="1">
        <v>0</v>
      </c>
      <c r="Q48" s="246"/>
      <c r="R48" s="1">
        <v>0</v>
      </c>
      <c r="S48" s="1">
        <v>0</v>
      </c>
      <c r="T48" s="1">
        <v>0</v>
      </c>
      <c r="U48" s="246"/>
      <c r="V48" s="1">
        <f t="shared" si="1"/>
        <v>12958</v>
      </c>
      <c r="W48" s="1">
        <f t="shared" si="1"/>
        <v>12958</v>
      </c>
      <c r="X48" s="1">
        <f t="shared" si="1"/>
        <v>0</v>
      </c>
      <c r="Z48" s="1">
        <f t="shared" si="0"/>
        <v>12958</v>
      </c>
      <c r="AA48" s="1">
        <f t="shared" si="0"/>
        <v>12958</v>
      </c>
      <c r="AB48" s="1">
        <f t="shared" si="0"/>
        <v>0</v>
      </c>
      <c r="AD48" s="247">
        <v>0</v>
      </c>
      <c r="AE48" s="247">
        <v>0</v>
      </c>
      <c r="AF48" s="247">
        <v>0</v>
      </c>
      <c r="AG48" s="246"/>
      <c r="AH48" s="540"/>
    </row>
    <row r="49" spans="1:34" x14ac:dyDescent="0.2">
      <c r="A49" s="8">
        <v>12950</v>
      </c>
      <c r="B49" s="8" t="s">
        <v>114</v>
      </c>
      <c r="C49" s="8" t="s">
        <v>42</v>
      </c>
      <c r="D49" s="29" t="s">
        <v>1</v>
      </c>
      <c r="E49" s="246"/>
      <c r="F49" s="1">
        <v>0</v>
      </c>
      <c r="G49" s="1">
        <v>0</v>
      </c>
      <c r="H49" s="1">
        <v>0</v>
      </c>
      <c r="I49" s="246"/>
      <c r="J49" s="1">
        <v>0</v>
      </c>
      <c r="K49" s="1">
        <v>0</v>
      </c>
      <c r="L49" s="1">
        <v>0</v>
      </c>
      <c r="M49" s="539"/>
      <c r="N49" s="1">
        <v>0</v>
      </c>
      <c r="O49" s="1">
        <v>0</v>
      </c>
      <c r="P49" s="1">
        <v>0</v>
      </c>
      <c r="Q49" s="246"/>
      <c r="R49" s="1">
        <v>0</v>
      </c>
      <c r="S49" s="1">
        <v>0</v>
      </c>
      <c r="T49" s="1">
        <v>0</v>
      </c>
      <c r="U49" s="246"/>
      <c r="V49" s="1">
        <f t="shared" si="1"/>
        <v>0</v>
      </c>
      <c r="W49" s="1">
        <f t="shared" si="1"/>
        <v>0</v>
      </c>
      <c r="X49" s="1">
        <f t="shared" si="1"/>
        <v>0</v>
      </c>
      <c r="Z49" s="1">
        <f t="shared" si="0"/>
        <v>0</v>
      </c>
      <c r="AA49" s="1">
        <f t="shared" si="0"/>
        <v>0</v>
      </c>
      <c r="AB49" s="1">
        <f t="shared" si="0"/>
        <v>0</v>
      </c>
      <c r="AD49" s="247"/>
      <c r="AE49" s="247"/>
      <c r="AF49" s="247"/>
      <c r="AG49" s="246"/>
      <c r="AH49" s="540"/>
    </row>
    <row r="50" spans="1:34" x14ac:dyDescent="0.2">
      <c r="A50" s="8">
        <v>13010</v>
      </c>
      <c r="B50" s="8" t="s">
        <v>115</v>
      </c>
      <c r="C50" s="8" t="s">
        <v>17</v>
      </c>
      <c r="D50" s="29" t="s">
        <v>1</v>
      </c>
      <c r="E50" s="246"/>
      <c r="F50" s="1">
        <v>0</v>
      </c>
      <c r="G50" s="1">
        <v>0</v>
      </c>
      <c r="H50" s="1">
        <v>0</v>
      </c>
      <c r="I50" s="246"/>
      <c r="J50" s="1">
        <v>0</v>
      </c>
      <c r="K50" s="1">
        <v>0</v>
      </c>
      <c r="L50" s="1">
        <v>0</v>
      </c>
      <c r="M50" s="539"/>
      <c r="N50" s="1">
        <v>635.53</v>
      </c>
      <c r="O50" s="1">
        <v>0</v>
      </c>
      <c r="P50" s="1">
        <v>635.53</v>
      </c>
      <c r="Q50" s="246"/>
      <c r="R50" s="1">
        <v>0</v>
      </c>
      <c r="S50" s="1">
        <v>0</v>
      </c>
      <c r="T50" s="1">
        <v>0</v>
      </c>
      <c r="U50" s="246"/>
      <c r="V50" s="1">
        <f t="shared" si="1"/>
        <v>635.53</v>
      </c>
      <c r="W50" s="1">
        <f t="shared" si="1"/>
        <v>0</v>
      </c>
      <c r="X50" s="1">
        <f t="shared" si="1"/>
        <v>635.53</v>
      </c>
      <c r="Z50" s="1">
        <f t="shared" si="0"/>
        <v>0</v>
      </c>
      <c r="AA50" s="1">
        <f t="shared" si="0"/>
        <v>0</v>
      </c>
      <c r="AB50" s="1">
        <f t="shared" si="0"/>
        <v>0</v>
      </c>
      <c r="AD50" s="247">
        <v>0</v>
      </c>
      <c r="AE50" s="247">
        <v>0</v>
      </c>
      <c r="AF50" s="247">
        <v>0</v>
      </c>
      <c r="AG50" s="246"/>
      <c r="AH50" s="540"/>
    </row>
    <row r="51" spans="1:34" x14ac:dyDescent="0.2">
      <c r="A51" s="8">
        <v>13310</v>
      </c>
      <c r="B51" s="8" t="s">
        <v>116</v>
      </c>
      <c r="C51" s="8" t="s">
        <v>74</v>
      </c>
      <c r="D51" s="29" t="s">
        <v>1</v>
      </c>
      <c r="E51" s="246"/>
      <c r="F51" s="1">
        <v>0</v>
      </c>
      <c r="G51" s="1">
        <v>0</v>
      </c>
      <c r="H51" s="1">
        <v>0</v>
      </c>
      <c r="I51" s="246"/>
      <c r="J51" s="1">
        <v>2599</v>
      </c>
      <c r="K51" s="1">
        <v>2547</v>
      </c>
      <c r="L51" s="1">
        <v>52</v>
      </c>
      <c r="M51" s="539"/>
      <c r="N51" s="1">
        <v>387.8</v>
      </c>
      <c r="O51" s="1">
        <v>380.04</v>
      </c>
      <c r="P51" s="1">
        <v>7.76</v>
      </c>
      <c r="Q51" s="246"/>
      <c r="R51" s="1">
        <v>0</v>
      </c>
      <c r="S51" s="1">
        <v>0</v>
      </c>
      <c r="T51" s="1">
        <v>0</v>
      </c>
      <c r="U51" s="246"/>
      <c r="V51" s="1">
        <f t="shared" si="1"/>
        <v>2986.8</v>
      </c>
      <c r="W51" s="1">
        <f t="shared" si="1"/>
        <v>2927.04</v>
      </c>
      <c r="X51" s="1">
        <f t="shared" si="1"/>
        <v>59.76</v>
      </c>
      <c r="Z51" s="1">
        <f t="shared" si="0"/>
        <v>2599</v>
      </c>
      <c r="AA51" s="1">
        <f t="shared" si="0"/>
        <v>2547</v>
      </c>
      <c r="AB51" s="1">
        <f t="shared" si="0"/>
        <v>52</v>
      </c>
      <c r="AD51" s="247">
        <v>0</v>
      </c>
      <c r="AE51" s="247">
        <v>0</v>
      </c>
      <c r="AF51" s="247">
        <v>0</v>
      </c>
      <c r="AG51" s="246"/>
      <c r="AH51" s="540"/>
    </row>
    <row r="52" spans="1:34" x14ac:dyDescent="0.2">
      <c r="A52" s="8">
        <v>13340</v>
      </c>
      <c r="B52" s="8" t="s">
        <v>117</v>
      </c>
      <c r="C52" s="8" t="s">
        <v>22</v>
      </c>
      <c r="D52" s="29" t="s">
        <v>1</v>
      </c>
      <c r="E52" s="246"/>
      <c r="F52" s="1">
        <v>0</v>
      </c>
      <c r="G52" s="1">
        <v>0</v>
      </c>
      <c r="H52" s="1">
        <v>0</v>
      </c>
      <c r="I52" s="246"/>
      <c r="J52" s="1">
        <v>0</v>
      </c>
      <c r="K52" s="1">
        <v>0</v>
      </c>
      <c r="L52" s="1">
        <v>0</v>
      </c>
      <c r="M52" s="539"/>
      <c r="N52" s="1">
        <v>560</v>
      </c>
      <c r="O52" s="1">
        <v>560</v>
      </c>
      <c r="P52" s="1">
        <v>0</v>
      </c>
      <c r="Q52" s="246"/>
      <c r="R52" s="1">
        <v>0</v>
      </c>
      <c r="S52" s="1">
        <v>0</v>
      </c>
      <c r="T52" s="1">
        <v>0</v>
      </c>
      <c r="U52" s="246"/>
      <c r="V52" s="1">
        <f t="shared" si="1"/>
        <v>560</v>
      </c>
      <c r="W52" s="1">
        <f t="shared" si="1"/>
        <v>560</v>
      </c>
      <c r="X52" s="1">
        <f t="shared" si="1"/>
        <v>0</v>
      </c>
      <c r="Z52" s="1">
        <f t="shared" si="0"/>
        <v>0</v>
      </c>
      <c r="AA52" s="1">
        <f t="shared" si="0"/>
        <v>0</v>
      </c>
      <c r="AB52" s="1">
        <f t="shared" si="0"/>
        <v>0</v>
      </c>
      <c r="AD52" s="247">
        <v>600</v>
      </c>
      <c r="AE52" s="247">
        <v>0</v>
      </c>
      <c r="AF52" s="247">
        <v>600</v>
      </c>
      <c r="AG52" s="246"/>
      <c r="AH52" s="540"/>
    </row>
    <row r="53" spans="1:34" x14ac:dyDescent="0.2">
      <c r="A53" s="8">
        <v>13450</v>
      </c>
      <c r="B53" s="8" t="s">
        <v>118</v>
      </c>
      <c r="C53" s="8" t="s">
        <v>75</v>
      </c>
      <c r="D53" s="29" t="s">
        <v>1</v>
      </c>
      <c r="E53" s="246"/>
      <c r="F53" s="1">
        <v>0</v>
      </c>
      <c r="G53" s="1">
        <v>0</v>
      </c>
      <c r="H53" s="1">
        <v>0</v>
      </c>
      <c r="I53" s="246"/>
      <c r="J53" s="1">
        <v>0</v>
      </c>
      <c r="K53" s="1">
        <v>0</v>
      </c>
      <c r="L53" s="1">
        <v>0</v>
      </c>
      <c r="M53" s="539"/>
      <c r="N53" s="1">
        <v>0</v>
      </c>
      <c r="O53" s="1">
        <v>0</v>
      </c>
      <c r="P53" s="1">
        <v>0</v>
      </c>
      <c r="Q53" s="246"/>
      <c r="R53" s="1">
        <v>0</v>
      </c>
      <c r="S53" s="1">
        <v>0</v>
      </c>
      <c r="T53" s="1">
        <v>0</v>
      </c>
      <c r="U53" s="246"/>
      <c r="V53" s="1">
        <f t="shared" si="1"/>
        <v>0</v>
      </c>
      <c r="W53" s="1">
        <f t="shared" si="1"/>
        <v>0</v>
      </c>
      <c r="X53" s="1">
        <f t="shared" si="1"/>
        <v>0</v>
      </c>
      <c r="Z53" s="1">
        <f t="shared" si="0"/>
        <v>0</v>
      </c>
      <c r="AA53" s="1">
        <f t="shared" si="0"/>
        <v>0</v>
      </c>
      <c r="AB53" s="1">
        <f t="shared" si="0"/>
        <v>0</v>
      </c>
      <c r="AD53" s="247"/>
      <c r="AE53" s="247"/>
      <c r="AF53" s="247"/>
      <c r="AG53" s="246"/>
      <c r="AH53" s="540"/>
    </row>
    <row r="54" spans="1:34" x14ac:dyDescent="0.2">
      <c r="A54" s="8">
        <v>13550</v>
      </c>
      <c r="B54" s="8" t="s">
        <v>77</v>
      </c>
      <c r="C54" s="8" t="s">
        <v>17</v>
      </c>
      <c r="D54" s="29" t="s">
        <v>1</v>
      </c>
      <c r="E54" s="246"/>
      <c r="F54" s="1">
        <v>902.4</v>
      </c>
      <c r="G54" s="1">
        <v>843.9</v>
      </c>
      <c r="H54" s="1">
        <v>58.5</v>
      </c>
      <c r="I54" s="246"/>
      <c r="J54" s="1">
        <v>0</v>
      </c>
      <c r="K54" s="1">
        <v>0</v>
      </c>
      <c r="L54" s="1">
        <v>0</v>
      </c>
      <c r="M54" s="539"/>
      <c r="N54" s="1">
        <v>1348.1</v>
      </c>
      <c r="O54" s="1">
        <v>1328.1</v>
      </c>
      <c r="P54" s="1">
        <v>20</v>
      </c>
      <c r="Q54" s="246"/>
      <c r="R54" s="1">
        <v>0</v>
      </c>
      <c r="S54" s="1">
        <v>0</v>
      </c>
      <c r="T54" s="1">
        <v>0</v>
      </c>
      <c r="U54" s="246"/>
      <c r="V54" s="1">
        <f t="shared" si="1"/>
        <v>2250.5</v>
      </c>
      <c r="W54" s="1">
        <f t="shared" si="1"/>
        <v>2172</v>
      </c>
      <c r="X54" s="1">
        <f t="shared" si="1"/>
        <v>78.5</v>
      </c>
      <c r="Z54" s="1">
        <f t="shared" si="0"/>
        <v>902.4</v>
      </c>
      <c r="AA54" s="1">
        <f t="shared" si="0"/>
        <v>843.9</v>
      </c>
      <c r="AB54" s="1">
        <f t="shared" si="0"/>
        <v>58.5</v>
      </c>
      <c r="AD54" s="247">
        <v>209.88</v>
      </c>
      <c r="AE54" s="247">
        <v>209</v>
      </c>
      <c r="AF54" s="247">
        <v>0</v>
      </c>
      <c r="AG54" s="246"/>
      <c r="AH54" s="540"/>
    </row>
    <row r="55" spans="1:34" x14ac:dyDescent="0.2">
      <c r="A55" s="8">
        <v>13660</v>
      </c>
      <c r="B55" s="8" t="s">
        <v>119</v>
      </c>
      <c r="C55" s="8" t="s">
        <v>17</v>
      </c>
      <c r="D55" s="29" t="s">
        <v>1</v>
      </c>
      <c r="E55" s="246"/>
      <c r="F55" s="1">
        <v>0</v>
      </c>
      <c r="G55" s="1">
        <v>0</v>
      </c>
      <c r="H55" s="1">
        <v>0</v>
      </c>
      <c r="I55" s="246"/>
      <c r="J55" s="1">
        <v>201.6</v>
      </c>
      <c r="K55" s="1">
        <v>200.65</v>
      </c>
      <c r="L55" s="1">
        <v>0.95</v>
      </c>
      <c r="M55" s="539"/>
      <c r="N55" s="1">
        <v>405.53</v>
      </c>
      <c r="O55" s="1">
        <v>0</v>
      </c>
      <c r="P55" s="1">
        <v>405.53</v>
      </c>
      <c r="Q55" s="246"/>
      <c r="R55" s="1">
        <v>0</v>
      </c>
      <c r="S55" s="1">
        <v>0</v>
      </c>
      <c r="T55" s="1">
        <v>0</v>
      </c>
      <c r="U55" s="246"/>
      <c r="V55" s="1">
        <f t="shared" si="1"/>
        <v>607.13</v>
      </c>
      <c r="W55" s="1">
        <f t="shared" si="1"/>
        <v>200.65</v>
      </c>
      <c r="X55" s="1">
        <f t="shared" si="1"/>
        <v>406.47999999999996</v>
      </c>
      <c r="Z55" s="1">
        <f t="shared" si="0"/>
        <v>201.6</v>
      </c>
      <c r="AA55" s="1">
        <f t="shared" si="0"/>
        <v>200.65</v>
      </c>
      <c r="AB55" s="1">
        <f t="shared" si="0"/>
        <v>0.95</v>
      </c>
      <c r="AD55" s="247">
        <v>5</v>
      </c>
      <c r="AE55" s="247">
        <v>5</v>
      </c>
      <c r="AF55" s="247">
        <v>0.5</v>
      </c>
      <c r="AG55" s="246"/>
      <c r="AH55" s="540"/>
    </row>
    <row r="56" spans="1:34" x14ac:dyDescent="0.2">
      <c r="A56" s="8">
        <v>13800</v>
      </c>
      <c r="B56" s="8" t="s">
        <v>120</v>
      </c>
      <c r="C56" s="8" t="s">
        <v>19</v>
      </c>
      <c r="D56" s="29" t="s">
        <v>2</v>
      </c>
      <c r="E56" s="246"/>
      <c r="F56" s="1">
        <v>5380</v>
      </c>
      <c r="G56" s="1">
        <v>5380</v>
      </c>
      <c r="H56" s="1">
        <v>0</v>
      </c>
      <c r="I56" s="246"/>
      <c r="J56" s="1">
        <v>0</v>
      </c>
      <c r="K56" s="1">
        <v>0</v>
      </c>
      <c r="L56" s="1">
        <v>0</v>
      </c>
      <c r="M56" s="539"/>
      <c r="N56" s="1">
        <v>870</v>
      </c>
      <c r="O56" s="1">
        <v>870</v>
      </c>
      <c r="P56" s="1">
        <v>0</v>
      </c>
      <c r="Q56" s="246"/>
      <c r="R56" s="1">
        <v>312</v>
      </c>
      <c r="S56" s="1">
        <v>312</v>
      </c>
      <c r="T56" s="1">
        <v>0</v>
      </c>
      <c r="U56" s="246"/>
      <c r="V56" s="1">
        <f t="shared" si="1"/>
        <v>6562</v>
      </c>
      <c r="W56" s="1">
        <f t="shared" si="1"/>
        <v>6562</v>
      </c>
      <c r="X56" s="1">
        <f t="shared" si="1"/>
        <v>0</v>
      </c>
      <c r="Z56" s="1">
        <f t="shared" si="0"/>
        <v>5380</v>
      </c>
      <c r="AA56" s="1">
        <f t="shared" si="0"/>
        <v>5380</v>
      </c>
      <c r="AB56" s="1">
        <f t="shared" si="0"/>
        <v>0</v>
      </c>
      <c r="AD56" s="247">
        <v>47</v>
      </c>
      <c r="AE56" s="247">
        <v>47</v>
      </c>
      <c r="AF56" s="247">
        <v>0</v>
      </c>
      <c r="AG56" s="246"/>
      <c r="AH56" s="540"/>
    </row>
    <row r="57" spans="1:34" x14ac:dyDescent="0.2">
      <c r="A57" s="8">
        <v>13850</v>
      </c>
      <c r="B57" s="8" t="s">
        <v>121</v>
      </c>
      <c r="C57" s="8" t="s">
        <v>75</v>
      </c>
      <c r="D57" s="29" t="s">
        <v>1</v>
      </c>
      <c r="E57" s="246"/>
      <c r="F57" s="1">
        <v>0</v>
      </c>
      <c r="G57" s="1">
        <v>0</v>
      </c>
      <c r="H57" s="1">
        <v>0</v>
      </c>
      <c r="I57" s="246"/>
      <c r="J57" s="1">
        <v>0</v>
      </c>
      <c r="K57" s="1">
        <v>0</v>
      </c>
      <c r="L57" s="1">
        <v>0</v>
      </c>
      <c r="M57" s="539"/>
      <c r="N57" s="1">
        <v>3556</v>
      </c>
      <c r="O57" s="1">
        <v>3556</v>
      </c>
      <c r="P57" s="1">
        <v>0</v>
      </c>
      <c r="Q57" s="246"/>
      <c r="R57" s="1">
        <v>0</v>
      </c>
      <c r="S57" s="1">
        <v>0</v>
      </c>
      <c r="T57" s="1">
        <v>0</v>
      </c>
      <c r="U57" s="246"/>
      <c r="V57" s="1">
        <f t="shared" si="1"/>
        <v>3556</v>
      </c>
      <c r="W57" s="1">
        <f t="shared" si="1"/>
        <v>3556</v>
      </c>
      <c r="X57" s="1">
        <f t="shared" si="1"/>
        <v>0</v>
      </c>
      <c r="Z57" s="1">
        <f t="shared" si="0"/>
        <v>0</v>
      </c>
      <c r="AA57" s="1">
        <f t="shared" si="0"/>
        <v>0</v>
      </c>
      <c r="AB57" s="1">
        <f t="shared" si="0"/>
        <v>0</v>
      </c>
      <c r="AD57" s="247">
        <v>0</v>
      </c>
      <c r="AE57" s="247">
        <v>0</v>
      </c>
      <c r="AF57" s="247">
        <v>0</v>
      </c>
      <c r="AG57" s="246"/>
      <c r="AH57" s="540"/>
    </row>
    <row r="58" spans="1:34" x14ac:dyDescent="0.2">
      <c r="A58" s="8">
        <v>13910</v>
      </c>
      <c r="B58" s="8" t="s">
        <v>122</v>
      </c>
      <c r="C58" s="8" t="s">
        <v>74</v>
      </c>
      <c r="D58" s="29" t="s">
        <v>1</v>
      </c>
      <c r="E58" s="246"/>
      <c r="F58" s="1">
        <v>4240.8999999999996</v>
      </c>
      <c r="G58" s="1">
        <v>4240.8999999999996</v>
      </c>
      <c r="H58" s="1">
        <v>0</v>
      </c>
      <c r="I58" s="246"/>
      <c r="J58" s="1">
        <v>0</v>
      </c>
      <c r="K58" s="1">
        <v>0</v>
      </c>
      <c r="L58" s="1">
        <v>0</v>
      </c>
      <c r="M58" s="539"/>
      <c r="N58" s="1">
        <v>563</v>
      </c>
      <c r="O58" s="1">
        <v>563</v>
      </c>
      <c r="P58" s="1">
        <v>0</v>
      </c>
      <c r="Q58" s="246"/>
      <c r="R58" s="1">
        <v>0</v>
      </c>
      <c r="S58" s="1">
        <v>0</v>
      </c>
      <c r="T58" s="1">
        <v>0</v>
      </c>
      <c r="U58" s="246"/>
      <c r="V58" s="1">
        <f t="shared" si="1"/>
        <v>4803.8999999999996</v>
      </c>
      <c r="W58" s="1">
        <f t="shared" si="1"/>
        <v>4803.8999999999996</v>
      </c>
      <c r="X58" s="1">
        <f t="shared" si="1"/>
        <v>0</v>
      </c>
      <c r="Z58" s="1">
        <f t="shared" si="0"/>
        <v>4240.8999999999996</v>
      </c>
      <c r="AA58" s="1">
        <f t="shared" si="0"/>
        <v>4240.8999999999996</v>
      </c>
      <c r="AB58" s="1">
        <f t="shared" si="0"/>
        <v>0</v>
      </c>
      <c r="AD58" s="247">
        <v>0</v>
      </c>
      <c r="AE58" s="247">
        <v>0</v>
      </c>
      <c r="AF58" s="247">
        <v>0</v>
      </c>
      <c r="AG58" s="246"/>
      <c r="AH58" s="540"/>
    </row>
    <row r="59" spans="1:34" x14ac:dyDescent="0.2">
      <c r="A59" s="8">
        <v>14000</v>
      </c>
      <c r="B59" s="8" t="s">
        <v>123</v>
      </c>
      <c r="C59" s="8" t="s">
        <v>26</v>
      </c>
      <c r="D59" s="29" t="s">
        <v>3</v>
      </c>
      <c r="E59" s="246"/>
      <c r="F59" s="1">
        <v>18647</v>
      </c>
      <c r="G59" s="1">
        <v>18647</v>
      </c>
      <c r="H59" s="1">
        <v>0</v>
      </c>
      <c r="I59" s="246"/>
      <c r="J59" s="1">
        <v>0</v>
      </c>
      <c r="K59" s="1">
        <v>0</v>
      </c>
      <c r="L59" s="1">
        <v>0</v>
      </c>
      <c r="M59" s="539"/>
      <c r="N59" s="1">
        <v>0</v>
      </c>
      <c r="O59" s="1">
        <v>0</v>
      </c>
      <c r="P59" s="1">
        <v>0</v>
      </c>
      <c r="Q59" s="246"/>
      <c r="R59" s="1">
        <v>0</v>
      </c>
      <c r="S59" s="1">
        <v>0</v>
      </c>
      <c r="T59" s="1">
        <v>0</v>
      </c>
      <c r="U59" s="246"/>
      <c r="V59" s="1">
        <f t="shared" si="1"/>
        <v>18647</v>
      </c>
      <c r="W59" s="1">
        <f t="shared" si="1"/>
        <v>18647</v>
      </c>
      <c r="X59" s="1">
        <f t="shared" si="1"/>
        <v>0</v>
      </c>
      <c r="Z59" s="1">
        <f t="shared" si="0"/>
        <v>18647</v>
      </c>
      <c r="AA59" s="1">
        <f t="shared" si="0"/>
        <v>18647</v>
      </c>
      <c r="AB59" s="1">
        <f t="shared" si="0"/>
        <v>0</v>
      </c>
      <c r="AD59" s="247">
        <v>525</v>
      </c>
      <c r="AE59" s="247">
        <v>525</v>
      </c>
      <c r="AF59" s="247">
        <v>0</v>
      </c>
      <c r="AG59" s="246"/>
      <c r="AH59" s="540"/>
    </row>
    <row r="60" spans="1:34" x14ac:dyDescent="0.2">
      <c r="A60" s="8">
        <v>14100</v>
      </c>
      <c r="B60" s="8" t="s">
        <v>56</v>
      </c>
      <c r="C60" s="8" t="s">
        <v>26</v>
      </c>
      <c r="D60" s="29" t="s">
        <v>3</v>
      </c>
      <c r="E60" s="246"/>
      <c r="F60" s="1">
        <v>1518</v>
      </c>
      <c r="G60" s="1">
        <v>1518</v>
      </c>
      <c r="H60" s="1">
        <v>0</v>
      </c>
      <c r="I60" s="246"/>
      <c r="J60" s="1">
        <v>0</v>
      </c>
      <c r="K60" s="1">
        <v>0</v>
      </c>
      <c r="L60" s="1">
        <v>0</v>
      </c>
      <c r="M60" s="539"/>
      <c r="N60" s="1">
        <v>0</v>
      </c>
      <c r="O60" s="1">
        <v>0</v>
      </c>
      <c r="P60" s="1">
        <v>0</v>
      </c>
      <c r="Q60" s="246"/>
      <c r="R60" s="1">
        <v>0</v>
      </c>
      <c r="S60" s="1">
        <v>0</v>
      </c>
      <c r="T60" s="1">
        <v>0</v>
      </c>
      <c r="U60" s="246"/>
      <c r="V60" s="1">
        <f t="shared" si="1"/>
        <v>1518</v>
      </c>
      <c r="W60" s="1">
        <f t="shared" si="1"/>
        <v>1518</v>
      </c>
      <c r="X60" s="1">
        <f t="shared" si="1"/>
        <v>0</v>
      </c>
      <c r="Z60" s="1">
        <f t="shared" si="0"/>
        <v>1518</v>
      </c>
      <c r="AA60" s="1">
        <f t="shared" si="0"/>
        <v>1518</v>
      </c>
      <c r="AB60" s="1">
        <f t="shared" si="0"/>
        <v>0</v>
      </c>
      <c r="AD60" s="247"/>
      <c r="AE60" s="247"/>
      <c r="AF60" s="247"/>
      <c r="AG60" s="246"/>
      <c r="AH60" s="540"/>
    </row>
    <row r="61" spans="1:34" x14ac:dyDescent="0.2">
      <c r="A61" s="8">
        <v>14170</v>
      </c>
      <c r="B61" s="8" t="s">
        <v>57</v>
      </c>
      <c r="C61" s="8" t="s">
        <v>18</v>
      </c>
      <c r="D61" s="29" t="s">
        <v>3</v>
      </c>
      <c r="E61" s="246"/>
      <c r="F61" s="1">
        <v>7398</v>
      </c>
      <c r="G61" s="1">
        <v>7398</v>
      </c>
      <c r="H61" s="1">
        <v>0</v>
      </c>
      <c r="I61" s="246"/>
      <c r="J61" s="1">
        <v>0</v>
      </c>
      <c r="K61" s="1">
        <v>0</v>
      </c>
      <c r="L61" s="1">
        <v>0</v>
      </c>
      <c r="M61" s="539"/>
      <c r="N61" s="1">
        <v>0</v>
      </c>
      <c r="O61" s="1">
        <v>0</v>
      </c>
      <c r="P61" s="1">
        <v>0</v>
      </c>
      <c r="Q61" s="246"/>
      <c r="R61" s="1">
        <v>0</v>
      </c>
      <c r="S61" s="1">
        <v>0</v>
      </c>
      <c r="T61" s="1">
        <v>0</v>
      </c>
      <c r="U61" s="246"/>
      <c r="V61" s="1">
        <f t="shared" si="1"/>
        <v>7398</v>
      </c>
      <c r="W61" s="1">
        <f t="shared" si="1"/>
        <v>7398</v>
      </c>
      <c r="X61" s="1">
        <f t="shared" si="1"/>
        <v>0</v>
      </c>
      <c r="Z61" s="1">
        <f t="shared" si="0"/>
        <v>7398</v>
      </c>
      <c r="AA61" s="1">
        <f t="shared" si="0"/>
        <v>7398</v>
      </c>
      <c r="AB61" s="1">
        <f t="shared" si="0"/>
        <v>0</v>
      </c>
      <c r="AD61" s="247">
        <v>372.66</v>
      </c>
      <c r="AE61" s="247">
        <v>372</v>
      </c>
      <c r="AF61" s="247">
        <v>0</v>
      </c>
      <c r="AG61" s="246"/>
      <c r="AH61" s="540"/>
    </row>
    <row r="62" spans="1:34" x14ac:dyDescent="0.2">
      <c r="A62" s="8">
        <v>14200</v>
      </c>
      <c r="B62" s="8" t="s">
        <v>124</v>
      </c>
      <c r="C62" s="8" t="s">
        <v>17</v>
      </c>
      <c r="D62" s="29" t="s">
        <v>1</v>
      </c>
      <c r="E62" s="246"/>
      <c r="F62" s="1">
        <v>0</v>
      </c>
      <c r="G62" s="1">
        <v>0</v>
      </c>
      <c r="H62" s="1">
        <v>0</v>
      </c>
      <c r="I62" s="246"/>
      <c r="J62" s="1">
        <v>0</v>
      </c>
      <c r="K62" s="1">
        <v>0</v>
      </c>
      <c r="L62" s="1">
        <v>0</v>
      </c>
      <c r="M62" s="539"/>
      <c r="N62" s="1">
        <v>912.44</v>
      </c>
      <c r="O62" s="1">
        <v>912.44</v>
      </c>
      <c r="P62" s="1">
        <v>0</v>
      </c>
      <c r="Q62" s="246"/>
      <c r="R62" s="1">
        <v>0</v>
      </c>
      <c r="S62" s="1">
        <v>0</v>
      </c>
      <c r="T62" s="1">
        <v>0</v>
      </c>
      <c r="U62" s="246"/>
      <c r="V62" s="1">
        <f t="shared" si="1"/>
        <v>912.44</v>
      </c>
      <c r="W62" s="1">
        <f t="shared" si="1"/>
        <v>912.44</v>
      </c>
      <c r="X62" s="1">
        <f t="shared" si="1"/>
        <v>0</v>
      </c>
      <c r="Z62" s="1">
        <f t="shared" si="0"/>
        <v>0</v>
      </c>
      <c r="AA62" s="1">
        <f t="shared" si="0"/>
        <v>0</v>
      </c>
      <c r="AB62" s="1">
        <f t="shared" si="0"/>
        <v>0</v>
      </c>
      <c r="AD62" s="247">
        <v>286</v>
      </c>
      <c r="AE62" s="247">
        <v>286</v>
      </c>
      <c r="AF62" s="247">
        <v>0</v>
      </c>
      <c r="AG62" s="246"/>
      <c r="AH62" s="540"/>
    </row>
    <row r="63" spans="1:34" x14ac:dyDescent="0.2">
      <c r="A63" s="8">
        <v>14300</v>
      </c>
      <c r="B63" s="8" t="s">
        <v>125</v>
      </c>
      <c r="C63" s="8" t="s">
        <v>22</v>
      </c>
      <c r="D63" s="29" t="s">
        <v>1</v>
      </c>
      <c r="E63" s="246"/>
      <c r="F63" s="1">
        <v>0</v>
      </c>
      <c r="G63" s="1">
        <v>0</v>
      </c>
      <c r="H63" s="1">
        <v>0</v>
      </c>
      <c r="I63" s="246"/>
      <c r="J63" s="1">
        <v>760.4</v>
      </c>
      <c r="K63" s="1">
        <v>760.4</v>
      </c>
      <c r="L63" s="1">
        <v>0</v>
      </c>
      <c r="M63" s="539"/>
      <c r="N63" s="1">
        <v>0</v>
      </c>
      <c r="O63" s="1">
        <v>0</v>
      </c>
      <c r="P63" s="1">
        <v>0</v>
      </c>
      <c r="Q63" s="246"/>
      <c r="R63" s="1">
        <v>0</v>
      </c>
      <c r="S63" s="1">
        <v>0</v>
      </c>
      <c r="T63" s="1">
        <v>0</v>
      </c>
      <c r="U63" s="246"/>
      <c r="V63" s="1">
        <f t="shared" si="1"/>
        <v>760.4</v>
      </c>
      <c r="W63" s="1">
        <f t="shared" si="1"/>
        <v>760.4</v>
      </c>
      <c r="X63" s="1">
        <f t="shared" si="1"/>
        <v>0</v>
      </c>
      <c r="Z63" s="1">
        <f t="shared" si="0"/>
        <v>760.4</v>
      </c>
      <c r="AA63" s="1">
        <f t="shared" si="0"/>
        <v>760.4</v>
      </c>
      <c r="AB63" s="1">
        <f t="shared" si="0"/>
        <v>0</v>
      </c>
      <c r="AD63" s="247">
        <v>351</v>
      </c>
      <c r="AE63" s="247">
        <v>351</v>
      </c>
      <c r="AF63" s="247">
        <v>0</v>
      </c>
      <c r="AG63" s="246"/>
      <c r="AH63" s="540"/>
    </row>
    <row r="64" spans="1:34" x14ac:dyDescent="0.2">
      <c r="A64" s="8">
        <v>14350</v>
      </c>
      <c r="B64" s="8" t="s">
        <v>126</v>
      </c>
      <c r="C64" s="8" t="s">
        <v>43</v>
      </c>
      <c r="D64" s="29" t="s">
        <v>4</v>
      </c>
      <c r="E64" s="246"/>
      <c r="F64" s="1">
        <v>0</v>
      </c>
      <c r="G64" s="1">
        <v>0</v>
      </c>
      <c r="H64" s="1">
        <v>0</v>
      </c>
      <c r="I64" s="246"/>
      <c r="J64" s="1">
        <v>4137</v>
      </c>
      <c r="K64" s="1">
        <v>4137</v>
      </c>
      <c r="L64" s="1">
        <v>0</v>
      </c>
      <c r="M64" s="539"/>
      <c r="N64" s="1">
        <v>600</v>
      </c>
      <c r="O64" s="1">
        <v>595</v>
      </c>
      <c r="P64" s="1">
        <v>5</v>
      </c>
      <c r="Q64" s="246"/>
      <c r="R64" s="1">
        <v>0</v>
      </c>
      <c r="S64" s="1">
        <v>0</v>
      </c>
      <c r="T64" s="1">
        <v>0</v>
      </c>
      <c r="U64" s="246"/>
      <c r="V64" s="1">
        <f t="shared" si="1"/>
        <v>4737</v>
      </c>
      <c r="W64" s="1">
        <f t="shared" si="1"/>
        <v>4732</v>
      </c>
      <c r="X64" s="1">
        <f t="shared" si="1"/>
        <v>5</v>
      </c>
      <c r="Z64" s="1">
        <f t="shared" si="0"/>
        <v>4137</v>
      </c>
      <c r="AA64" s="1">
        <f t="shared" si="0"/>
        <v>4137</v>
      </c>
      <c r="AB64" s="1">
        <f t="shared" si="0"/>
        <v>0</v>
      </c>
      <c r="AD64" s="247">
        <v>325.94</v>
      </c>
      <c r="AE64" s="247">
        <v>325</v>
      </c>
      <c r="AF64" s="247">
        <v>0</v>
      </c>
      <c r="AG64" s="246"/>
      <c r="AH64" s="540"/>
    </row>
    <row r="65" spans="1:34" x14ac:dyDescent="0.2">
      <c r="A65" s="8">
        <v>14400</v>
      </c>
      <c r="B65" s="8" t="s">
        <v>127</v>
      </c>
      <c r="C65" s="8" t="s">
        <v>41</v>
      </c>
      <c r="D65" s="29" t="s">
        <v>2</v>
      </c>
      <c r="E65" s="246"/>
      <c r="F65" s="1">
        <v>0</v>
      </c>
      <c r="G65" s="1">
        <v>0</v>
      </c>
      <c r="H65" s="1">
        <v>0</v>
      </c>
      <c r="I65" s="246"/>
      <c r="J65" s="1">
        <v>4889.91</v>
      </c>
      <c r="K65" s="1">
        <v>4867.32</v>
      </c>
      <c r="L65" s="1">
        <v>22.59</v>
      </c>
      <c r="M65" s="539"/>
      <c r="N65" s="1">
        <v>1379.06</v>
      </c>
      <c r="O65" s="1">
        <v>1379.06</v>
      </c>
      <c r="P65" s="1">
        <v>0</v>
      </c>
      <c r="Q65" s="246"/>
      <c r="R65" s="1">
        <v>0</v>
      </c>
      <c r="S65" s="1">
        <v>0</v>
      </c>
      <c r="T65" s="1">
        <v>0</v>
      </c>
      <c r="U65" s="246"/>
      <c r="V65" s="1">
        <f t="shared" si="1"/>
        <v>6268.9699999999993</v>
      </c>
      <c r="W65" s="1">
        <f t="shared" si="1"/>
        <v>6246.3799999999992</v>
      </c>
      <c r="X65" s="1">
        <f t="shared" si="1"/>
        <v>22.59</v>
      </c>
      <c r="Z65" s="1">
        <f t="shared" si="0"/>
        <v>4889.91</v>
      </c>
      <c r="AA65" s="1">
        <f t="shared" si="0"/>
        <v>4867.32</v>
      </c>
      <c r="AB65" s="1">
        <f t="shared" si="0"/>
        <v>22.59</v>
      </c>
      <c r="AD65" s="247">
        <v>0</v>
      </c>
      <c r="AE65" s="247">
        <v>0</v>
      </c>
      <c r="AF65" s="247">
        <v>0</v>
      </c>
      <c r="AG65" s="246"/>
      <c r="AH65" s="540"/>
    </row>
    <row r="66" spans="1:34" x14ac:dyDescent="0.2">
      <c r="A66" s="8">
        <v>14500</v>
      </c>
      <c r="B66" s="8" t="s">
        <v>58</v>
      </c>
      <c r="C66" s="8" t="s">
        <v>26</v>
      </c>
      <c r="D66" s="29" t="s">
        <v>3</v>
      </c>
      <c r="E66" s="246"/>
      <c r="F66" s="1">
        <v>20803.759999999998</v>
      </c>
      <c r="G66" s="1">
        <v>20803.759999999998</v>
      </c>
      <c r="H66" s="1">
        <v>0</v>
      </c>
      <c r="I66" s="246"/>
      <c r="J66" s="1">
        <v>0</v>
      </c>
      <c r="K66" s="1">
        <v>0</v>
      </c>
      <c r="L66" s="1">
        <v>0</v>
      </c>
      <c r="M66" s="539"/>
      <c r="N66" s="1">
        <v>74.5</v>
      </c>
      <c r="O66" s="1">
        <v>74.5</v>
      </c>
      <c r="P66" s="1">
        <v>0</v>
      </c>
      <c r="Q66" s="246"/>
      <c r="R66" s="1">
        <v>0</v>
      </c>
      <c r="S66" s="1">
        <v>0</v>
      </c>
      <c r="T66" s="1">
        <v>0</v>
      </c>
      <c r="U66" s="246"/>
      <c r="V66" s="1">
        <f t="shared" si="1"/>
        <v>20878.259999999998</v>
      </c>
      <c r="W66" s="1">
        <f t="shared" si="1"/>
        <v>20878.259999999998</v>
      </c>
      <c r="X66" s="1">
        <f t="shared" si="1"/>
        <v>0</v>
      </c>
      <c r="Z66" s="1">
        <f t="shared" si="0"/>
        <v>20803.759999999998</v>
      </c>
      <c r="AA66" s="1">
        <f t="shared" si="0"/>
        <v>20803.759999999998</v>
      </c>
      <c r="AB66" s="1">
        <f t="shared" si="0"/>
        <v>0</v>
      </c>
      <c r="AD66" s="247">
        <v>2943.84</v>
      </c>
      <c r="AE66" s="247">
        <v>2943</v>
      </c>
      <c r="AF66" s="247">
        <v>0</v>
      </c>
      <c r="AG66" s="246"/>
      <c r="AH66" s="540"/>
    </row>
    <row r="67" spans="1:34" x14ac:dyDescent="0.2">
      <c r="A67" s="8">
        <v>14550</v>
      </c>
      <c r="B67" s="8" t="s">
        <v>128</v>
      </c>
      <c r="C67" s="8" t="s">
        <v>20</v>
      </c>
      <c r="D67" s="29" t="s">
        <v>4</v>
      </c>
      <c r="E67" s="246"/>
      <c r="F67" s="1">
        <v>0</v>
      </c>
      <c r="G67" s="1">
        <v>0</v>
      </c>
      <c r="H67" s="1">
        <v>0</v>
      </c>
      <c r="I67" s="246"/>
      <c r="J67" s="1">
        <v>0</v>
      </c>
      <c r="K67" s="1">
        <v>0</v>
      </c>
      <c r="L67" s="1">
        <v>0</v>
      </c>
      <c r="M67" s="539"/>
      <c r="N67" s="1">
        <v>253.46</v>
      </c>
      <c r="O67" s="1">
        <v>253.46</v>
      </c>
      <c r="P67" s="1">
        <v>0</v>
      </c>
      <c r="Q67" s="246"/>
      <c r="R67" s="1">
        <v>0</v>
      </c>
      <c r="S67" s="1">
        <v>0</v>
      </c>
      <c r="T67" s="1">
        <v>0</v>
      </c>
      <c r="U67" s="246"/>
      <c r="V67" s="1">
        <f t="shared" si="1"/>
        <v>253.46</v>
      </c>
      <c r="W67" s="1">
        <f t="shared" si="1"/>
        <v>253.46</v>
      </c>
      <c r="X67" s="1">
        <f t="shared" si="1"/>
        <v>0</v>
      </c>
      <c r="Z67" s="1">
        <f t="shared" si="0"/>
        <v>0</v>
      </c>
      <c r="AA67" s="1">
        <f t="shared" si="0"/>
        <v>0</v>
      </c>
      <c r="AB67" s="1">
        <f t="shared" si="0"/>
        <v>0</v>
      </c>
      <c r="AD67" s="247"/>
      <c r="AE67" s="247"/>
      <c r="AF67" s="247"/>
      <c r="AG67" s="246"/>
      <c r="AH67" s="540"/>
    </row>
    <row r="68" spans="1:34" x14ac:dyDescent="0.2">
      <c r="A68" s="8">
        <v>14600</v>
      </c>
      <c r="B68" s="8" t="s">
        <v>129</v>
      </c>
      <c r="C68" s="8" t="s">
        <v>42</v>
      </c>
      <c r="D68" s="29" t="s">
        <v>1</v>
      </c>
      <c r="E68" s="246"/>
      <c r="F68" s="1">
        <v>121</v>
      </c>
      <c r="G68" s="1">
        <v>121</v>
      </c>
      <c r="H68" s="1">
        <v>0</v>
      </c>
      <c r="I68" s="246"/>
      <c r="J68" s="1">
        <v>0</v>
      </c>
      <c r="K68" s="1">
        <v>0</v>
      </c>
      <c r="L68" s="1">
        <v>0</v>
      </c>
      <c r="M68" s="539"/>
      <c r="N68" s="1">
        <v>2510</v>
      </c>
      <c r="O68" s="1">
        <v>1000</v>
      </c>
      <c r="P68" s="1">
        <v>1510</v>
      </c>
      <c r="Q68" s="246"/>
      <c r="R68" s="1">
        <v>0</v>
      </c>
      <c r="S68" s="1">
        <v>0</v>
      </c>
      <c r="T68" s="1">
        <v>0</v>
      </c>
      <c r="U68" s="246"/>
      <c r="V68" s="1">
        <f t="shared" si="1"/>
        <v>2631</v>
      </c>
      <c r="W68" s="1">
        <f t="shared" si="1"/>
        <v>1121</v>
      </c>
      <c r="X68" s="1">
        <f t="shared" si="1"/>
        <v>1510</v>
      </c>
      <c r="Z68" s="1">
        <f t="shared" si="0"/>
        <v>121</v>
      </c>
      <c r="AA68" s="1">
        <f t="shared" si="0"/>
        <v>121</v>
      </c>
      <c r="AB68" s="1">
        <f t="shared" si="0"/>
        <v>0</v>
      </c>
      <c r="AD68" s="247">
        <v>0</v>
      </c>
      <c r="AE68" s="247">
        <v>0</v>
      </c>
      <c r="AF68" s="247">
        <v>0</v>
      </c>
      <c r="AG68" s="246"/>
      <c r="AH68" s="540"/>
    </row>
    <row r="69" spans="1:34" x14ac:dyDescent="0.2">
      <c r="A69" s="8">
        <v>14650</v>
      </c>
      <c r="B69" s="8" t="s">
        <v>130</v>
      </c>
      <c r="C69" s="8" t="s">
        <v>25</v>
      </c>
      <c r="D69" s="29" t="s">
        <v>2</v>
      </c>
      <c r="E69" s="246"/>
      <c r="F69" s="1">
        <v>0</v>
      </c>
      <c r="G69" s="1">
        <v>0</v>
      </c>
      <c r="H69" s="1">
        <v>0</v>
      </c>
      <c r="I69" s="246"/>
      <c r="J69" s="1">
        <v>40854</v>
      </c>
      <c r="K69" s="1">
        <v>40079</v>
      </c>
      <c r="L69" s="1">
        <v>775</v>
      </c>
      <c r="M69" s="539"/>
      <c r="N69" s="1">
        <v>969</v>
      </c>
      <c r="O69" s="1">
        <v>969</v>
      </c>
      <c r="P69" s="1">
        <v>0</v>
      </c>
      <c r="Q69" s="246"/>
      <c r="R69" s="1">
        <v>472.6</v>
      </c>
      <c r="S69" s="1">
        <v>472.6</v>
      </c>
      <c r="T69" s="1">
        <v>0</v>
      </c>
      <c r="U69" s="246"/>
      <c r="V69" s="1">
        <f t="shared" si="1"/>
        <v>42295.6</v>
      </c>
      <c r="W69" s="1">
        <f t="shared" si="1"/>
        <v>41520.6</v>
      </c>
      <c r="X69" s="1">
        <f t="shared" si="1"/>
        <v>775</v>
      </c>
      <c r="Z69" s="1">
        <f t="shared" ref="Z69:AB131" si="2">F69+J69</f>
        <v>40854</v>
      </c>
      <c r="AA69" s="1">
        <f t="shared" si="2"/>
        <v>40079</v>
      </c>
      <c r="AB69" s="1">
        <f t="shared" si="2"/>
        <v>775</v>
      </c>
      <c r="AD69" s="247">
        <v>684</v>
      </c>
      <c r="AE69" s="247">
        <v>684</v>
      </c>
      <c r="AF69" s="247">
        <v>0</v>
      </c>
      <c r="AG69" s="246"/>
      <c r="AH69" s="540"/>
    </row>
    <row r="70" spans="1:34" x14ac:dyDescent="0.2">
      <c r="A70" s="8">
        <v>14700</v>
      </c>
      <c r="B70" s="8" t="s">
        <v>59</v>
      </c>
      <c r="C70" s="8" t="s">
        <v>26</v>
      </c>
      <c r="D70" s="29" t="s">
        <v>3</v>
      </c>
      <c r="E70" s="246"/>
      <c r="F70" s="1">
        <v>3293</v>
      </c>
      <c r="G70" s="1">
        <v>3293</v>
      </c>
      <c r="H70" s="1">
        <v>0</v>
      </c>
      <c r="I70" s="246"/>
      <c r="J70" s="1">
        <v>0</v>
      </c>
      <c r="K70" s="1">
        <v>0</v>
      </c>
      <c r="L70" s="1">
        <v>0</v>
      </c>
      <c r="M70" s="539"/>
      <c r="N70" s="1">
        <v>0</v>
      </c>
      <c r="O70" s="1">
        <v>0</v>
      </c>
      <c r="P70" s="1">
        <v>0</v>
      </c>
      <c r="Q70" s="246"/>
      <c r="R70" s="1">
        <v>0</v>
      </c>
      <c r="S70" s="1">
        <v>0</v>
      </c>
      <c r="T70" s="1">
        <v>0</v>
      </c>
      <c r="U70" s="246"/>
      <c r="V70" s="1">
        <f t="shared" ref="V70:X132" si="3">F70+J70+N70+R70</f>
        <v>3293</v>
      </c>
      <c r="W70" s="1">
        <f t="shared" si="3"/>
        <v>3293</v>
      </c>
      <c r="X70" s="1">
        <f t="shared" si="3"/>
        <v>0</v>
      </c>
      <c r="Z70" s="1">
        <f t="shared" si="2"/>
        <v>3293</v>
      </c>
      <c r="AA70" s="1">
        <f t="shared" si="2"/>
        <v>3293</v>
      </c>
      <c r="AB70" s="1">
        <f t="shared" si="2"/>
        <v>0</v>
      </c>
      <c r="AD70" s="247"/>
      <c r="AE70" s="247"/>
      <c r="AF70" s="247"/>
      <c r="AG70" s="246"/>
      <c r="AH70" s="540"/>
    </row>
    <row r="71" spans="1:34" x14ac:dyDescent="0.2">
      <c r="A71" s="8">
        <v>14750</v>
      </c>
      <c r="B71" s="8" t="s">
        <v>131</v>
      </c>
      <c r="C71" s="8" t="s">
        <v>75</v>
      </c>
      <c r="D71" s="29" t="s">
        <v>1</v>
      </c>
      <c r="E71" s="246"/>
      <c r="F71" s="1">
        <v>0</v>
      </c>
      <c r="G71" s="1">
        <v>0</v>
      </c>
      <c r="H71" s="1">
        <v>0</v>
      </c>
      <c r="I71" s="246"/>
      <c r="J71" s="1">
        <v>0</v>
      </c>
      <c r="K71" s="1">
        <v>0</v>
      </c>
      <c r="L71" s="1">
        <v>0</v>
      </c>
      <c r="M71" s="539"/>
      <c r="N71" s="1">
        <v>0</v>
      </c>
      <c r="O71" s="1">
        <v>0</v>
      </c>
      <c r="P71" s="1">
        <v>0</v>
      </c>
      <c r="Q71" s="246"/>
      <c r="R71" s="1">
        <v>0</v>
      </c>
      <c r="S71" s="1">
        <v>0</v>
      </c>
      <c r="T71" s="1">
        <v>0</v>
      </c>
      <c r="U71" s="246"/>
      <c r="V71" s="1">
        <f t="shared" si="3"/>
        <v>0</v>
      </c>
      <c r="W71" s="1">
        <f t="shared" si="3"/>
        <v>0</v>
      </c>
      <c r="X71" s="1">
        <f t="shared" si="3"/>
        <v>0</v>
      </c>
      <c r="Z71" s="1">
        <f t="shared" si="2"/>
        <v>0</v>
      </c>
      <c r="AA71" s="1">
        <f t="shared" si="2"/>
        <v>0</v>
      </c>
      <c r="AB71" s="1">
        <f t="shared" si="2"/>
        <v>0</v>
      </c>
      <c r="AD71" s="247">
        <v>183.22</v>
      </c>
      <c r="AE71" s="247">
        <v>183</v>
      </c>
      <c r="AF71" s="247">
        <v>0</v>
      </c>
      <c r="AG71" s="246"/>
      <c r="AH71" s="540"/>
    </row>
    <row r="72" spans="1:34" x14ac:dyDescent="0.2">
      <c r="A72" s="8">
        <v>14850</v>
      </c>
      <c r="B72" s="8" t="s">
        <v>132</v>
      </c>
      <c r="C72" s="8" t="s">
        <v>20</v>
      </c>
      <c r="D72" s="29" t="s">
        <v>4</v>
      </c>
      <c r="E72" s="246"/>
      <c r="F72" s="1">
        <v>0</v>
      </c>
      <c r="G72" s="1">
        <v>0</v>
      </c>
      <c r="H72" s="1">
        <v>0</v>
      </c>
      <c r="I72" s="246"/>
      <c r="J72" s="1">
        <v>5689</v>
      </c>
      <c r="K72" s="1">
        <v>5689</v>
      </c>
      <c r="L72" s="1">
        <v>0</v>
      </c>
      <c r="M72" s="539"/>
      <c r="N72" s="1">
        <v>1546</v>
      </c>
      <c r="O72" s="1">
        <v>1546</v>
      </c>
      <c r="P72" s="1">
        <v>0</v>
      </c>
      <c r="Q72" s="246"/>
      <c r="R72" s="1">
        <v>0</v>
      </c>
      <c r="S72" s="1">
        <v>0</v>
      </c>
      <c r="T72" s="1">
        <v>0</v>
      </c>
      <c r="U72" s="246"/>
      <c r="V72" s="1">
        <f t="shared" si="3"/>
        <v>7235</v>
      </c>
      <c r="W72" s="1">
        <f t="shared" si="3"/>
        <v>7235</v>
      </c>
      <c r="X72" s="1">
        <f t="shared" si="3"/>
        <v>0</v>
      </c>
      <c r="Z72" s="1">
        <f t="shared" si="2"/>
        <v>5689</v>
      </c>
      <c r="AA72" s="1">
        <f t="shared" si="2"/>
        <v>5689</v>
      </c>
      <c r="AB72" s="1">
        <f t="shared" si="2"/>
        <v>0</v>
      </c>
      <c r="AD72" s="247">
        <v>124</v>
      </c>
      <c r="AE72" s="247">
        <v>124</v>
      </c>
      <c r="AF72" s="247">
        <v>0</v>
      </c>
      <c r="AG72" s="246"/>
      <c r="AH72" s="540"/>
    </row>
    <row r="73" spans="1:34" x14ac:dyDescent="0.2">
      <c r="A73" s="8">
        <v>14870</v>
      </c>
      <c r="B73" s="8" t="s">
        <v>133</v>
      </c>
      <c r="C73" s="8" t="s">
        <v>42</v>
      </c>
      <c r="D73" s="29" t="s">
        <v>1</v>
      </c>
      <c r="E73" s="246"/>
      <c r="F73" s="1">
        <v>0</v>
      </c>
      <c r="G73" s="1">
        <v>0</v>
      </c>
      <c r="H73" s="1">
        <v>0</v>
      </c>
      <c r="I73" s="246"/>
      <c r="J73" s="1">
        <v>0</v>
      </c>
      <c r="K73" s="1">
        <v>0</v>
      </c>
      <c r="L73" s="1">
        <v>0</v>
      </c>
      <c r="M73" s="539"/>
      <c r="N73" s="1">
        <v>16</v>
      </c>
      <c r="O73" s="1">
        <v>16</v>
      </c>
      <c r="P73" s="1">
        <v>0</v>
      </c>
      <c r="Q73" s="246"/>
      <c r="R73" s="1">
        <v>5.44</v>
      </c>
      <c r="S73" s="1">
        <v>5.44</v>
      </c>
      <c r="T73" s="1">
        <v>0</v>
      </c>
      <c r="U73" s="246"/>
      <c r="V73" s="1">
        <f t="shared" si="3"/>
        <v>21.44</v>
      </c>
      <c r="W73" s="1">
        <f t="shared" si="3"/>
        <v>21.44</v>
      </c>
      <c r="X73" s="1">
        <f t="shared" si="3"/>
        <v>0</v>
      </c>
      <c r="Z73" s="1">
        <f t="shared" si="2"/>
        <v>0</v>
      </c>
      <c r="AA73" s="1">
        <f t="shared" si="2"/>
        <v>0</v>
      </c>
      <c r="AB73" s="1">
        <f t="shared" si="2"/>
        <v>0</v>
      </c>
      <c r="AD73" s="247"/>
      <c r="AE73" s="247"/>
      <c r="AF73" s="247"/>
      <c r="AG73" s="246"/>
      <c r="AH73" s="540"/>
    </row>
    <row r="74" spans="1:34" x14ac:dyDescent="0.2">
      <c r="A74" s="8">
        <v>14900</v>
      </c>
      <c r="B74" s="8" t="s">
        <v>60</v>
      </c>
      <c r="C74" s="8" t="s">
        <v>19</v>
      </c>
      <c r="D74" s="29" t="s">
        <v>3</v>
      </c>
      <c r="E74" s="246"/>
      <c r="F74" s="1">
        <v>19735.2</v>
      </c>
      <c r="G74" s="1">
        <v>19143.14</v>
      </c>
      <c r="H74" s="1">
        <v>592.05999999999995</v>
      </c>
      <c r="I74" s="246"/>
      <c r="J74" s="1">
        <v>0</v>
      </c>
      <c r="K74" s="1">
        <v>0</v>
      </c>
      <c r="L74" s="1">
        <v>0</v>
      </c>
      <c r="M74" s="539"/>
      <c r="N74" s="1">
        <v>0</v>
      </c>
      <c r="O74" s="1">
        <v>0</v>
      </c>
      <c r="P74" s="1">
        <v>0</v>
      </c>
      <c r="Q74" s="246"/>
      <c r="R74" s="1">
        <v>0</v>
      </c>
      <c r="S74" s="1">
        <v>0</v>
      </c>
      <c r="T74" s="1">
        <v>0</v>
      </c>
      <c r="U74" s="246"/>
      <c r="V74" s="1">
        <f t="shared" si="3"/>
        <v>19735.2</v>
      </c>
      <c r="W74" s="1">
        <f t="shared" si="3"/>
        <v>19143.14</v>
      </c>
      <c r="X74" s="1">
        <f t="shared" si="3"/>
        <v>592.05999999999995</v>
      </c>
      <c r="Z74" s="1">
        <f t="shared" si="2"/>
        <v>19735.2</v>
      </c>
      <c r="AA74" s="1">
        <f t="shared" si="2"/>
        <v>19143.14</v>
      </c>
      <c r="AB74" s="1">
        <f t="shared" si="2"/>
        <v>592.05999999999995</v>
      </c>
      <c r="AD74" s="247">
        <v>0</v>
      </c>
      <c r="AE74" s="247">
        <v>0</v>
      </c>
      <c r="AF74" s="247">
        <v>0</v>
      </c>
      <c r="AG74" s="246"/>
      <c r="AH74" s="540"/>
    </row>
    <row r="75" spans="1:34" x14ac:dyDescent="0.2">
      <c r="A75" s="8">
        <v>14920</v>
      </c>
      <c r="B75" s="8" t="s">
        <v>134</v>
      </c>
      <c r="C75" s="8" t="s">
        <v>17</v>
      </c>
      <c r="D75" s="29" t="s">
        <v>1</v>
      </c>
      <c r="E75" s="246"/>
      <c r="F75" s="1">
        <v>0</v>
      </c>
      <c r="G75" s="1">
        <v>0</v>
      </c>
      <c r="H75" s="1">
        <v>0</v>
      </c>
      <c r="I75" s="246"/>
      <c r="J75" s="1">
        <v>0</v>
      </c>
      <c r="K75" s="1">
        <v>0</v>
      </c>
      <c r="L75" s="1">
        <v>0</v>
      </c>
      <c r="M75" s="539"/>
      <c r="N75" s="1">
        <v>0</v>
      </c>
      <c r="O75" s="1">
        <v>0</v>
      </c>
      <c r="P75" s="1">
        <v>0</v>
      </c>
      <c r="Q75" s="246"/>
      <c r="R75" s="1">
        <v>20</v>
      </c>
      <c r="S75" s="1">
        <v>0</v>
      </c>
      <c r="T75" s="1">
        <v>20</v>
      </c>
      <c r="U75" s="246"/>
      <c r="V75" s="1">
        <f t="shared" si="3"/>
        <v>20</v>
      </c>
      <c r="W75" s="1">
        <f t="shared" si="3"/>
        <v>0</v>
      </c>
      <c r="X75" s="1">
        <f t="shared" si="3"/>
        <v>20</v>
      </c>
      <c r="Z75" s="1">
        <f t="shared" si="2"/>
        <v>0</v>
      </c>
      <c r="AA75" s="1">
        <f t="shared" si="2"/>
        <v>0</v>
      </c>
      <c r="AB75" s="1">
        <f t="shared" si="2"/>
        <v>0</v>
      </c>
      <c r="AD75" s="247">
        <v>0</v>
      </c>
      <c r="AE75" s="247">
        <v>0</v>
      </c>
      <c r="AF75" s="247">
        <v>0</v>
      </c>
      <c r="AG75" s="246"/>
      <c r="AH75" s="540"/>
    </row>
    <row r="76" spans="1:34" x14ac:dyDescent="0.2">
      <c r="A76" s="8">
        <v>14950</v>
      </c>
      <c r="B76" s="8" t="s">
        <v>135</v>
      </c>
      <c r="C76" s="8" t="s">
        <v>22</v>
      </c>
      <c r="D76" s="29" t="s">
        <v>1</v>
      </c>
      <c r="E76" s="246"/>
      <c r="F76" s="1">
        <v>0</v>
      </c>
      <c r="G76" s="1">
        <v>0</v>
      </c>
      <c r="H76" s="1">
        <v>0</v>
      </c>
      <c r="I76" s="246"/>
      <c r="J76" s="1">
        <v>710.66</v>
      </c>
      <c r="K76" s="1">
        <v>710.66</v>
      </c>
      <c r="L76" s="1">
        <v>0</v>
      </c>
      <c r="M76" s="539"/>
      <c r="N76" s="1">
        <v>0</v>
      </c>
      <c r="O76" s="1">
        <v>0</v>
      </c>
      <c r="P76" s="1">
        <v>0</v>
      </c>
      <c r="Q76" s="246"/>
      <c r="R76" s="1">
        <v>122.4</v>
      </c>
      <c r="S76" s="1">
        <v>122.4</v>
      </c>
      <c r="T76" s="1">
        <v>0</v>
      </c>
      <c r="U76" s="246"/>
      <c r="V76" s="1">
        <f t="shared" si="3"/>
        <v>833.06</v>
      </c>
      <c r="W76" s="1">
        <f t="shared" si="3"/>
        <v>833.06</v>
      </c>
      <c r="X76" s="1">
        <f t="shared" si="3"/>
        <v>0</v>
      </c>
      <c r="Z76" s="1">
        <f t="shared" si="2"/>
        <v>710.66</v>
      </c>
      <c r="AA76" s="1">
        <f t="shared" si="2"/>
        <v>710.66</v>
      </c>
      <c r="AB76" s="1">
        <f t="shared" si="2"/>
        <v>0</v>
      </c>
      <c r="AD76" s="247">
        <v>0</v>
      </c>
      <c r="AE76" s="247">
        <v>0</v>
      </c>
      <c r="AF76" s="247">
        <v>0</v>
      </c>
      <c r="AG76" s="246"/>
      <c r="AH76" s="540"/>
    </row>
    <row r="77" spans="1:34" x14ac:dyDescent="0.2">
      <c r="A77" s="8">
        <v>15050</v>
      </c>
      <c r="B77" s="8" t="s">
        <v>136</v>
      </c>
      <c r="C77" s="8" t="s">
        <v>25</v>
      </c>
      <c r="D77" s="29" t="s">
        <v>2</v>
      </c>
      <c r="E77" s="246"/>
      <c r="F77" s="1">
        <v>10997</v>
      </c>
      <c r="G77" s="1">
        <v>10982.15</v>
      </c>
      <c r="H77" s="1">
        <v>14.85</v>
      </c>
      <c r="I77" s="246"/>
      <c r="J77" s="1">
        <v>0</v>
      </c>
      <c r="K77" s="1">
        <v>0</v>
      </c>
      <c r="L77" s="1">
        <v>0</v>
      </c>
      <c r="M77" s="539"/>
      <c r="N77" s="1">
        <v>1174</v>
      </c>
      <c r="O77" s="1">
        <v>1174</v>
      </c>
      <c r="P77" s="1">
        <v>0</v>
      </c>
      <c r="Q77" s="246"/>
      <c r="R77" s="1">
        <v>0</v>
      </c>
      <c r="S77" s="1">
        <v>0</v>
      </c>
      <c r="T77" s="1">
        <v>0</v>
      </c>
      <c r="U77" s="246"/>
      <c r="V77" s="1">
        <f t="shared" si="3"/>
        <v>12171</v>
      </c>
      <c r="W77" s="1">
        <f t="shared" si="3"/>
        <v>12156.15</v>
      </c>
      <c r="X77" s="1">
        <f t="shared" si="3"/>
        <v>14.85</v>
      </c>
      <c r="Z77" s="1">
        <f t="shared" si="2"/>
        <v>10997</v>
      </c>
      <c r="AA77" s="1">
        <f t="shared" si="2"/>
        <v>10982.15</v>
      </c>
      <c r="AB77" s="1">
        <f t="shared" si="2"/>
        <v>14.85</v>
      </c>
      <c r="AD77" s="247">
        <v>202</v>
      </c>
      <c r="AE77" s="247">
        <v>202</v>
      </c>
      <c r="AF77" s="247">
        <v>0</v>
      </c>
      <c r="AG77" s="246"/>
      <c r="AH77" s="540"/>
    </row>
    <row r="78" spans="1:34" x14ac:dyDescent="0.2">
      <c r="A78" s="8">
        <v>15240</v>
      </c>
      <c r="B78" s="8" t="s">
        <v>137</v>
      </c>
      <c r="C78" s="8" t="s">
        <v>43</v>
      </c>
      <c r="D78" s="29" t="s">
        <v>4</v>
      </c>
      <c r="E78" s="246"/>
      <c r="F78" s="1">
        <v>11554.78</v>
      </c>
      <c r="G78" s="1">
        <v>11554.78</v>
      </c>
      <c r="H78" s="1">
        <v>0</v>
      </c>
      <c r="I78" s="246"/>
      <c r="J78" s="1">
        <v>0</v>
      </c>
      <c r="K78" s="1">
        <v>0</v>
      </c>
      <c r="L78" s="1">
        <v>0</v>
      </c>
      <c r="M78" s="539"/>
      <c r="N78" s="1">
        <v>2764.92</v>
      </c>
      <c r="O78" s="1">
        <v>2764.92</v>
      </c>
      <c r="P78" s="1">
        <v>0</v>
      </c>
      <c r="Q78" s="246"/>
      <c r="R78" s="1">
        <v>0</v>
      </c>
      <c r="S78" s="1">
        <v>0</v>
      </c>
      <c r="T78" s="1">
        <v>0</v>
      </c>
      <c r="U78" s="246"/>
      <c r="V78" s="1">
        <f t="shared" si="3"/>
        <v>14319.7</v>
      </c>
      <c r="W78" s="1">
        <f t="shared" si="3"/>
        <v>14319.7</v>
      </c>
      <c r="X78" s="1">
        <f t="shared" si="3"/>
        <v>0</v>
      </c>
      <c r="Z78" s="1">
        <f t="shared" si="2"/>
        <v>11554.78</v>
      </c>
      <c r="AA78" s="1">
        <f t="shared" si="2"/>
        <v>11554.78</v>
      </c>
      <c r="AB78" s="1">
        <f t="shared" si="2"/>
        <v>0</v>
      </c>
      <c r="AD78" s="247">
        <v>0</v>
      </c>
      <c r="AE78" s="247">
        <v>0</v>
      </c>
      <c r="AF78" s="247">
        <v>0</v>
      </c>
      <c r="AG78" s="246"/>
      <c r="AH78" s="540"/>
    </row>
    <row r="79" spans="1:34" x14ac:dyDescent="0.2">
      <c r="A79" s="8">
        <v>15270</v>
      </c>
      <c r="B79" s="8" t="s">
        <v>138</v>
      </c>
      <c r="C79" s="8" t="s">
        <v>42</v>
      </c>
      <c r="D79" s="29" t="s">
        <v>1</v>
      </c>
      <c r="E79" s="246"/>
      <c r="F79" s="1">
        <v>0</v>
      </c>
      <c r="G79" s="1">
        <v>0</v>
      </c>
      <c r="H79" s="1">
        <v>0</v>
      </c>
      <c r="I79" s="246"/>
      <c r="J79" s="1">
        <v>2592.02</v>
      </c>
      <c r="K79" s="1">
        <v>2592.02</v>
      </c>
      <c r="L79" s="1">
        <v>0</v>
      </c>
      <c r="M79" s="539"/>
      <c r="N79" s="1">
        <v>1474.72</v>
      </c>
      <c r="O79" s="1">
        <v>1474.72</v>
      </c>
      <c r="P79" s="1">
        <v>0</v>
      </c>
      <c r="Q79" s="246"/>
      <c r="R79" s="1">
        <v>0</v>
      </c>
      <c r="S79" s="1">
        <v>0</v>
      </c>
      <c r="T79" s="1">
        <v>0</v>
      </c>
      <c r="U79" s="246"/>
      <c r="V79" s="1">
        <f t="shared" si="3"/>
        <v>4066.74</v>
      </c>
      <c r="W79" s="1">
        <f t="shared" si="3"/>
        <v>4066.74</v>
      </c>
      <c r="X79" s="1">
        <f t="shared" si="3"/>
        <v>0</v>
      </c>
      <c r="Z79" s="1">
        <f t="shared" si="2"/>
        <v>2592.02</v>
      </c>
      <c r="AA79" s="1">
        <f t="shared" si="2"/>
        <v>2592.02</v>
      </c>
      <c r="AB79" s="1">
        <f t="shared" si="2"/>
        <v>0</v>
      </c>
      <c r="AD79" s="247">
        <v>0</v>
      </c>
      <c r="AE79" s="247">
        <v>0</v>
      </c>
      <c r="AF79" s="247">
        <v>0</v>
      </c>
      <c r="AG79" s="246"/>
      <c r="AH79" s="540"/>
    </row>
    <row r="80" spans="1:34" x14ac:dyDescent="0.2">
      <c r="A80" s="8">
        <v>15300</v>
      </c>
      <c r="B80" s="8" t="s">
        <v>139</v>
      </c>
      <c r="C80" s="8" t="s">
        <v>17</v>
      </c>
      <c r="D80" s="29" t="s">
        <v>1</v>
      </c>
      <c r="E80" s="246"/>
      <c r="F80" s="1">
        <v>0</v>
      </c>
      <c r="G80" s="1">
        <v>0</v>
      </c>
      <c r="H80" s="1">
        <v>0</v>
      </c>
      <c r="I80" s="246"/>
      <c r="J80" s="1">
        <v>732.37</v>
      </c>
      <c r="K80" s="1">
        <v>597.73</v>
      </c>
      <c r="L80" s="1">
        <v>134.63999999999999</v>
      </c>
      <c r="M80" s="539"/>
      <c r="N80" s="1">
        <v>1299.1300000000001</v>
      </c>
      <c r="O80" s="1">
        <v>1299.1300000000001</v>
      </c>
      <c r="P80" s="1">
        <v>0</v>
      </c>
      <c r="Q80" s="246"/>
      <c r="R80" s="1">
        <v>14.44</v>
      </c>
      <c r="S80" s="1">
        <v>14.44</v>
      </c>
      <c r="T80" s="1">
        <v>0</v>
      </c>
      <c r="U80" s="246"/>
      <c r="V80" s="1">
        <f t="shared" si="3"/>
        <v>2045.94</v>
      </c>
      <c r="W80" s="1">
        <f t="shared" si="3"/>
        <v>1911.3000000000002</v>
      </c>
      <c r="X80" s="1">
        <f t="shared" si="3"/>
        <v>134.63999999999999</v>
      </c>
      <c r="Z80" s="1">
        <f t="shared" si="2"/>
        <v>732.37</v>
      </c>
      <c r="AA80" s="1">
        <f t="shared" si="2"/>
        <v>597.73</v>
      </c>
      <c r="AB80" s="1">
        <f t="shared" si="2"/>
        <v>134.63999999999999</v>
      </c>
      <c r="AD80" s="247">
        <v>305.5</v>
      </c>
      <c r="AE80" s="247">
        <v>305</v>
      </c>
      <c r="AF80" s="247">
        <v>0</v>
      </c>
      <c r="AG80" s="246"/>
      <c r="AH80" s="540"/>
    </row>
    <row r="81" spans="1:34" x14ac:dyDescent="0.2">
      <c r="A81" s="8">
        <v>15350</v>
      </c>
      <c r="B81" s="8" t="s">
        <v>140</v>
      </c>
      <c r="C81" s="8" t="s">
        <v>26</v>
      </c>
      <c r="D81" s="29" t="s">
        <v>3</v>
      </c>
      <c r="E81" s="246"/>
      <c r="F81" s="1">
        <v>1618</v>
      </c>
      <c r="G81" s="1">
        <v>1618</v>
      </c>
      <c r="H81" s="1">
        <v>0</v>
      </c>
      <c r="I81" s="246"/>
      <c r="J81" s="1">
        <v>0</v>
      </c>
      <c r="K81" s="1">
        <v>0</v>
      </c>
      <c r="L81" s="1">
        <v>0</v>
      </c>
      <c r="M81" s="539"/>
      <c r="N81" s="1">
        <v>0</v>
      </c>
      <c r="O81" s="1">
        <v>0</v>
      </c>
      <c r="P81" s="1">
        <v>0</v>
      </c>
      <c r="Q81" s="246"/>
      <c r="R81" s="1">
        <v>0</v>
      </c>
      <c r="S81" s="1">
        <v>0</v>
      </c>
      <c r="T81" s="1">
        <v>0</v>
      </c>
      <c r="U81" s="246"/>
      <c r="V81" s="1">
        <f t="shared" si="3"/>
        <v>1618</v>
      </c>
      <c r="W81" s="1">
        <f t="shared" si="3"/>
        <v>1618</v>
      </c>
      <c r="X81" s="1">
        <f t="shared" si="3"/>
        <v>0</v>
      </c>
      <c r="Z81" s="1">
        <f t="shared" si="2"/>
        <v>1618</v>
      </c>
      <c r="AA81" s="1">
        <f t="shared" si="2"/>
        <v>1618</v>
      </c>
      <c r="AB81" s="1">
        <f t="shared" si="2"/>
        <v>0</v>
      </c>
      <c r="AD81" s="247">
        <v>509.44</v>
      </c>
      <c r="AE81" s="247">
        <v>509</v>
      </c>
      <c r="AF81" s="247">
        <v>0</v>
      </c>
      <c r="AG81" s="246"/>
      <c r="AH81" s="540"/>
    </row>
    <row r="82" spans="1:34" x14ac:dyDescent="0.2">
      <c r="A82" s="8">
        <v>15520</v>
      </c>
      <c r="B82" s="8" t="s">
        <v>141</v>
      </c>
      <c r="C82" s="8" t="s">
        <v>73</v>
      </c>
      <c r="D82" s="29" t="s">
        <v>1</v>
      </c>
      <c r="E82" s="246"/>
      <c r="F82" s="1">
        <v>788.61</v>
      </c>
      <c r="G82" s="1">
        <v>788.61</v>
      </c>
      <c r="H82" s="1">
        <v>0</v>
      </c>
      <c r="I82" s="246"/>
      <c r="J82" s="1">
        <v>0</v>
      </c>
      <c r="K82" s="1">
        <v>0</v>
      </c>
      <c r="L82" s="1">
        <v>0</v>
      </c>
      <c r="M82" s="539"/>
      <c r="N82" s="1">
        <v>0</v>
      </c>
      <c r="O82" s="1">
        <v>0</v>
      </c>
      <c r="P82" s="1">
        <v>0</v>
      </c>
      <c r="Q82" s="246"/>
      <c r="R82" s="1">
        <v>0</v>
      </c>
      <c r="S82" s="1">
        <v>0</v>
      </c>
      <c r="T82" s="1">
        <v>0</v>
      </c>
      <c r="U82" s="246"/>
      <c r="V82" s="1">
        <f t="shared" si="3"/>
        <v>788.61</v>
      </c>
      <c r="W82" s="1">
        <f t="shared" si="3"/>
        <v>788.61</v>
      </c>
      <c r="X82" s="1">
        <f t="shared" si="3"/>
        <v>0</v>
      </c>
      <c r="Z82" s="1">
        <f t="shared" si="2"/>
        <v>788.61</v>
      </c>
      <c r="AA82" s="1">
        <f t="shared" si="2"/>
        <v>788.61</v>
      </c>
      <c r="AB82" s="1">
        <f t="shared" si="2"/>
        <v>0</v>
      </c>
      <c r="AD82" s="247"/>
      <c r="AE82" s="247"/>
      <c r="AF82" s="247"/>
      <c r="AG82" s="246"/>
      <c r="AH82" s="540"/>
    </row>
    <row r="83" spans="1:34" x14ac:dyDescent="0.2">
      <c r="A83" s="8">
        <v>15560</v>
      </c>
      <c r="B83" s="8" t="s">
        <v>142</v>
      </c>
      <c r="C83" s="8" t="s">
        <v>75</v>
      </c>
      <c r="D83" s="29" t="s">
        <v>1</v>
      </c>
      <c r="E83" s="246"/>
      <c r="F83" s="1">
        <v>0</v>
      </c>
      <c r="G83" s="1">
        <v>0</v>
      </c>
      <c r="H83" s="1">
        <v>0</v>
      </c>
      <c r="I83" s="246"/>
      <c r="J83" s="1">
        <v>0</v>
      </c>
      <c r="K83" s="1">
        <v>0</v>
      </c>
      <c r="L83" s="1">
        <v>0</v>
      </c>
      <c r="M83" s="539"/>
      <c r="N83" s="1">
        <v>300</v>
      </c>
      <c r="O83" s="1">
        <v>50</v>
      </c>
      <c r="P83" s="1">
        <v>250</v>
      </c>
      <c r="Q83" s="246"/>
      <c r="R83" s="1">
        <v>0</v>
      </c>
      <c r="S83" s="1">
        <v>0</v>
      </c>
      <c r="T83" s="1">
        <v>0</v>
      </c>
      <c r="U83" s="246"/>
      <c r="V83" s="1">
        <f t="shared" si="3"/>
        <v>300</v>
      </c>
      <c r="W83" s="1">
        <f t="shared" si="3"/>
        <v>50</v>
      </c>
      <c r="X83" s="1">
        <f t="shared" si="3"/>
        <v>250</v>
      </c>
      <c r="Z83" s="1">
        <f t="shared" si="2"/>
        <v>0</v>
      </c>
      <c r="AA83" s="1">
        <f t="shared" si="2"/>
        <v>0</v>
      </c>
      <c r="AB83" s="1">
        <f t="shared" si="2"/>
        <v>0</v>
      </c>
      <c r="AD83" s="247"/>
      <c r="AE83" s="247"/>
      <c r="AF83" s="247"/>
      <c r="AG83" s="246"/>
      <c r="AH83" s="540"/>
    </row>
    <row r="84" spans="1:34" x14ac:dyDescent="0.2">
      <c r="A84" s="8">
        <v>15650</v>
      </c>
      <c r="B84" s="8" t="s">
        <v>143</v>
      </c>
      <c r="C84" s="8" t="s">
        <v>25</v>
      </c>
      <c r="D84" s="29" t="s">
        <v>4</v>
      </c>
      <c r="E84" s="246"/>
      <c r="F84" s="1">
        <v>1813.42</v>
      </c>
      <c r="G84" s="1">
        <v>1777.1200000000001</v>
      </c>
      <c r="H84" s="1">
        <v>36.299999999999997</v>
      </c>
      <c r="I84" s="246"/>
      <c r="J84" s="1">
        <v>0</v>
      </c>
      <c r="K84" s="1">
        <v>0</v>
      </c>
      <c r="L84" s="1">
        <v>0</v>
      </c>
      <c r="M84" s="539"/>
      <c r="N84" s="1">
        <v>504.51</v>
      </c>
      <c r="O84" s="1">
        <v>504.51</v>
      </c>
      <c r="P84" s="1">
        <v>0</v>
      </c>
      <c r="Q84" s="246"/>
      <c r="R84" s="1">
        <v>73.739999999999995</v>
      </c>
      <c r="S84" s="1">
        <v>73.739999999999995</v>
      </c>
      <c r="T84" s="1">
        <v>0</v>
      </c>
      <c r="U84" s="246"/>
      <c r="V84" s="1">
        <f t="shared" si="3"/>
        <v>2391.67</v>
      </c>
      <c r="W84" s="1">
        <f t="shared" si="3"/>
        <v>2355.37</v>
      </c>
      <c r="X84" s="1">
        <f t="shared" si="3"/>
        <v>36.299999999999997</v>
      </c>
      <c r="Z84" s="1">
        <f t="shared" si="2"/>
        <v>1813.42</v>
      </c>
      <c r="AA84" s="1">
        <f t="shared" si="2"/>
        <v>1777.1200000000001</v>
      </c>
      <c r="AB84" s="1">
        <f t="shared" si="2"/>
        <v>36.299999999999997</v>
      </c>
      <c r="AD84" s="247">
        <v>107.59</v>
      </c>
      <c r="AE84" s="247">
        <v>107</v>
      </c>
      <c r="AF84" s="247">
        <v>0</v>
      </c>
      <c r="AG84" s="246"/>
      <c r="AH84" s="540"/>
    </row>
    <row r="85" spans="1:34" x14ac:dyDescent="0.2">
      <c r="A85" s="8">
        <v>15700</v>
      </c>
      <c r="B85" s="8" t="s">
        <v>61</v>
      </c>
      <c r="C85" s="8" t="s">
        <v>43</v>
      </c>
      <c r="D85" s="29" t="s">
        <v>4</v>
      </c>
      <c r="E85" s="246"/>
      <c r="F85" s="1">
        <v>0</v>
      </c>
      <c r="G85" s="1">
        <v>0</v>
      </c>
      <c r="H85" s="1">
        <v>0</v>
      </c>
      <c r="I85" s="246"/>
      <c r="J85" s="1">
        <v>2585</v>
      </c>
      <c r="K85" s="1">
        <v>2585</v>
      </c>
      <c r="L85" s="1">
        <v>0</v>
      </c>
      <c r="M85" s="539"/>
      <c r="N85" s="1">
        <v>308</v>
      </c>
      <c r="O85" s="1">
        <v>308</v>
      </c>
      <c r="P85" s="1">
        <v>0</v>
      </c>
      <c r="Q85" s="246"/>
      <c r="R85" s="1">
        <v>0</v>
      </c>
      <c r="S85" s="1">
        <v>0</v>
      </c>
      <c r="T85" s="1">
        <v>0</v>
      </c>
      <c r="U85" s="246"/>
      <c r="V85" s="1">
        <f t="shared" si="3"/>
        <v>2893</v>
      </c>
      <c r="W85" s="1">
        <f t="shared" si="3"/>
        <v>2893</v>
      </c>
      <c r="X85" s="1">
        <f t="shared" si="3"/>
        <v>0</v>
      </c>
      <c r="Z85" s="1">
        <f t="shared" si="2"/>
        <v>2585</v>
      </c>
      <c r="AA85" s="1">
        <f t="shared" si="2"/>
        <v>2585</v>
      </c>
      <c r="AB85" s="1">
        <f t="shared" si="2"/>
        <v>0</v>
      </c>
      <c r="AD85" s="247"/>
      <c r="AE85" s="247"/>
      <c r="AF85" s="247"/>
      <c r="AG85" s="246"/>
      <c r="AH85" s="540"/>
    </row>
    <row r="86" spans="1:34" x14ac:dyDescent="0.2">
      <c r="A86" s="8">
        <v>15750</v>
      </c>
      <c r="B86" s="8" t="s">
        <v>144</v>
      </c>
      <c r="C86" s="8" t="s">
        <v>17</v>
      </c>
      <c r="D86" s="29" t="s">
        <v>1</v>
      </c>
      <c r="E86" s="246"/>
      <c r="F86" s="1">
        <v>0</v>
      </c>
      <c r="G86" s="1">
        <v>0</v>
      </c>
      <c r="H86" s="1">
        <v>0</v>
      </c>
      <c r="I86" s="246"/>
      <c r="J86" s="1">
        <v>875.65</v>
      </c>
      <c r="K86" s="1">
        <v>875.65</v>
      </c>
      <c r="L86" s="1">
        <v>0</v>
      </c>
      <c r="M86" s="539"/>
      <c r="N86" s="1">
        <v>2394.25</v>
      </c>
      <c r="O86" s="1">
        <v>2394.25</v>
      </c>
      <c r="P86" s="1">
        <v>0</v>
      </c>
      <c r="Q86" s="246"/>
      <c r="R86" s="1">
        <v>0</v>
      </c>
      <c r="S86" s="1">
        <v>0</v>
      </c>
      <c r="T86" s="1">
        <v>0</v>
      </c>
      <c r="U86" s="246"/>
      <c r="V86" s="1">
        <f t="shared" si="3"/>
        <v>3269.9</v>
      </c>
      <c r="W86" s="1">
        <f t="shared" si="3"/>
        <v>3269.9</v>
      </c>
      <c r="X86" s="1">
        <f t="shared" si="3"/>
        <v>0</v>
      </c>
      <c r="Z86" s="1">
        <f t="shared" si="2"/>
        <v>875.65</v>
      </c>
      <c r="AA86" s="1">
        <f t="shared" si="2"/>
        <v>875.65</v>
      </c>
      <c r="AB86" s="1">
        <f t="shared" si="2"/>
        <v>0</v>
      </c>
      <c r="AD86" s="247"/>
      <c r="AE86" s="247"/>
      <c r="AF86" s="247"/>
      <c r="AG86" s="246"/>
      <c r="AH86" s="540"/>
    </row>
    <row r="87" spans="1:34" x14ac:dyDescent="0.2">
      <c r="A87" s="8">
        <v>15800</v>
      </c>
      <c r="B87" s="8" t="s">
        <v>145</v>
      </c>
      <c r="C87" s="8" t="s">
        <v>75</v>
      </c>
      <c r="D87" s="29" t="s">
        <v>1</v>
      </c>
      <c r="E87" s="246"/>
      <c r="F87" s="1">
        <v>0</v>
      </c>
      <c r="G87" s="1">
        <v>0</v>
      </c>
      <c r="H87" s="1">
        <v>0</v>
      </c>
      <c r="I87" s="246"/>
      <c r="J87" s="1">
        <v>0</v>
      </c>
      <c r="K87" s="1">
        <v>0</v>
      </c>
      <c r="L87" s="1">
        <v>0</v>
      </c>
      <c r="M87" s="539"/>
      <c r="N87" s="1">
        <v>0</v>
      </c>
      <c r="O87" s="1">
        <v>0</v>
      </c>
      <c r="P87" s="1">
        <v>0</v>
      </c>
      <c r="Q87" s="246"/>
      <c r="R87" s="1">
        <v>0</v>
      </c>
      <c r="S87" s="1">
        <v>0</v>
      </c>
      <c r="T87" s="1">
        <v>0</v>
      </c>
      <c r="U87" s="246"/>
      <c r="V87" s="1">
        <f t="shared" si="3"/>
        <v>0</v>
      </c>
      <c r="W87" s="1">
        <f t="shared" si="3"/>
        <v>0</v>
      </c>
      <c r="X87" s="1">
        <f t="shared" si="3"/>
        <v>0</v>
      </c>
      <c r="Z87" s="1">
        <f t="shared" si="2"/>
        <v>0</v>
      </c>
      <c r="AA87" s="1">
        <f t="shared" si="2"/>
        <v>0</v>
      </c>
      <c r="AB87" s="1">
        <f t="shared" si="2"/>
        <v>0</v>
      </c>
      <c r="AD87" s="247"/>
      <c r="AE87" s="247"/>
      <c r="AF87" s="247"/>
      <c r="AG87" s="246"/>
      <c r="AH87" s="540"/>
    </row>
    <row r="88" spans="1:34" x14ac:dyDescent="0.2">
      <c r="A88" s="8">
        <v>15850</v>
      </c>
      <c r="B88" s="8" t="s">
        <v>146</v>
      </c>
      <c r="C88" s="8" t="s">
        <v>42</v>
      </c>
      <c r="D88" s="29" t="s">
        <v>1</v>
      </c>
      <c r="E88" s="246"/>
      <c r="F88" s="1">
        <v>0</v>
      </c>
      <c r="G88" s="1">
        <v>0</v>
      </c>
      <c r="H88" s="1">
        <v>0</v>
      </c>
      <c r="I88" s="246"/>
      <c r="J88" s="1">
        <v>805</v>
      </c>
      <c r="K88" s="1">
        <v>805</v>
      </c>
      <c r="L88" s="1">
        <v>0</v>
      </c>
      <c r="M88" s="539"/>
      <c r="N88" s="1">
        <v>0</v>
      </c>
      <c r="O88" s="1">
        <v>0</v>
      </c>
      <c r="P88" s="1">
        <v>0</v>
      </c>
      <c r="Q88" s="246"/>
      <c r="R88" s="1">
        <v>0</v>
      </c>
      <c r="S88" s="1">
        <v>0</v>
      </c>
      <c r="T88" s="1">
        <v>0</v>
      </c>
      <c r="U88" s="246"/>
      <c r="V88" s="1">
        <f t="shared" si="3"/>
        <v>805</v>
      </c>
      <c r="W88" s="1">
        <f t="shared" si="3"/>
        <v>805</v>
      </c>
      <c r="X88" s="1">
        <f t="shared" si="3"/>
        <v>0</v>
      </c>
      <c r="Z88" s="1">
        <f t="shared" si="2"/>
        <v>805</v>
      </c>
      <c r="AA88" s="1">
        <f t="shared" si="2"/>
        <v>805</v>
      </c>
      <c r="AB88" s="1">
        <f t="shared" si="2"/>
        <v>0</v>
      </c>
      <c r="AD88" s="247"/>
      <c r="AE88" s="247"/>
      <c r="AF88" s="247"/>
      <c r="AG88" s="246"/>
      <c r="AH88" s="540"/>
    </row>
    <row r="89" spans="1:34" x14ac:dyDescent="0.2">
      <c r="A89" s="8">
        <v>15900</v>
      </c>
      <c r="B89" s="8" t="s">
        <v>147</v>
      </c>
      <c r="C89" s="8" t="s">
        <v>25</v>
      </c>
      <c r="D89" s="29" t="s">
        <v>2</v>
      </c>
      <c r="E89" s="246"/>
      <c r="F89" s="1">
        <v>16567.34</v>
      </c>
      <c r="G89" s="1">
        <v>16401.670000000002</v>
      </c>
      <c r="H89" s="1">
        <v>165.67</v>
      </c>
      <c r="I89" s="246"/>
      <c r="J89" s="1">
        <v>0</v>
      </c>
      <c r="K89" s="1">
        <v>0</v>
      </c>
      <c r="L89" s="1">
        <v>0</v>
      </c>
      <c r="M89" s="539"/>
      <c r="N89" s="1">
        <v>0</v>
      </c>
      <c r="O89" s="1">
        <v>0</v>
      </c>
      <c r="P89" s="1">
        <v>0</v>
      </c>
      <c r="Q89" s="246"/>
      <c r="R89" s="1">
        <v>0</v>
      </c>
      <c r="S89" s="1">
        <v>0</v>
      </c>
      <c r="T89" s="1">
        <v>0</v>
      </c>
      <c r="U89" s="246"/>
      <c r="V89" s="1">
        <f t="shared" si="3"/>
        <v>16567.34</v>
      </c>
      <c r="W89" s="1">
        <f t="shared" si="3"/>
        <v>16401.670000000002</v>
      </c>
      <c r="X89" s="1">
        <f t="shared" si="3"/>
        <v>165.67</v>
      </c>
      <c r="Z89" s="1">
        <f t="shared" si="2"/>
        <v>16567.34</v>
      </c>
      <c r="AA89" s="1">
        <f t="shared" si="2"/>
        <v>16401.670000000002</v>
      </c>
      <c r="AB89" s="1">
        <f t="shared" si="2"/>
        <v>165.67</v>
      </c>
      <c r="AD89" s="247">
        <v>367.97</v>
      </c>
      <c r="AE89" s="247">
        <v>367</v>
      </c>
      <c r="AF89" s="247">
        <v>0</v>
      </c>
      <c r="AG89" s="246"/>
      <c r="AH89" s="540"/>
    </row>
    <row r="90" spans="1:34" x14ac:dyDescent="0.2">
      <c r="A90" s="8">
        <v>15950</v>
      </c>
      <c r="B90" s="8" t="s">
        <v>62</v>
      </c>
      <c r="C90" s="8" t="s">
        <v>26</v>
      </c>
      <c r="D90" s="29" t="s">
        <v>3</v>
      </c>
      <c r="E90" s="246"/>
      <c r="F90" s="1">
        <v>0</v>
      </c>
      <c r="G90" s="1">
        <v>0</v>
      </c>
      <c r="H90" s="1">
        <v>0</v>
      </c>
      <c r="I90" s="246"/>
      <c r="J90" s="1">
        <v>0</v>
      </c>
      <c r="K90" s="1">
        <v>0</v>
      </c>
      <c r="L90" s="1">
        <v>0</v>
      </c>
      <c r="M90" s="539"/>
      <c r="N90" s="1">
        <v>0</v>
      </c>
      <c r="O90" s="1">
        <v>0</v>
      </c>
      <c r="P90" s="1">
        <v>0</v>
      </c>
      <c r="Q90" s="246"/>
      <c r="R90" s="1">
        <v>1918</v>
      </c>
      <c r="S90" s="1">
        <v>1918</v>
      </c>
      <c r="T90" s="1">
        <v>0</v>
      </c>
      <c r="U90" s="246"/>
      <c r="V90" s="1">
        <f t="shared" si="3"/>
        <v>1918</v>
      </c>
      <c r="W90" s="1">
        <f t="shared" si="3"/>
        <v>1918</v>
      </c>
      <c r="X90" s="1">
        <f t="shared" si="3"/>
        <v>0</v>
      </c>
      <c r="Z90" s="1">
        <f t="shared" si="2"/>
        <v>0</v>
      </c>
      <c r="AA90" s="1">
        <f t="shared" si="2"/>
        <v>0</v>
      </c>
      <c r="AB90" s="1">
        <f t="shared" si="2"/>
        <v>0</v>
      </c>
      <c r="AD90" s="247">
        <v>181</v>
      </c>
      <c r="AE90" s="247">
        <v>181</v>
      </c>
      <c r="AF90" s="247">
        <v>0</v>
      </c>
      <c r="AG90" s="246"/>
      <c r="AH90" s="540"/>
    </row>
    <row r="91" spans="1:34" x14ac:dyDescent="0.2">
      <c r="A91" s="8">
        <v>15990</v>
      </c>
      <c r="B91" s="8" t="s">
        <v>148</v>
      </c>
      <c r="C91" s="8"/>
      <c r="D91" s="29" t="s">
        <v>3</v>
      </c>
      <c r="E91" s="246"/>
      <c r="F91" s="1">
        <v>29505.7</v>
      </c>
      <c r="G91" s="1">
        <v>29505.7</v>
      </c>
      <c r="H91" s="1">
        <v>0</v>
      </c>
      <c r="I91" s="246"/>
      <c r="J91" s="1">
        <v>0</v>
      </c>
      <c r="K91" s="1">
        <v>0</v>
      </c>
      <c r="L91" s="1">
        <v>0</v>
      </c>
      <c r="M91" s="539"/>
      <c r="N91" s="1">
        <v>0</v>
      </c>
      <c r="O91" s="1">
        <v>0</v>
      </c>
      <c r="P91" s="1">
        <v>0</v>
      </c>
      <c r="Q91" s="246"/>
      <c r="R91" s="1">
        <v>0</v>
      </c>
      <c r="S91" s="1">
        <v>0</v>
      </c>
      <c r="T91" s="1">
        <v>0</v>
      </c>
      <c r="U91" s="246"/>
      <c r="V91" s="1">
        <f t="shared" si="3"/>
        <v>29505.7</v>
      </c>
      <c r="W91" s="1">
        <f t="shared" si="3"/>
        <v>29505.7</v>
      </c>
      <c r="X91" s="1">
        <f t="shared" si="3"/>
        <v>0</v>
      </c>
      <c r="Z91" s="1">
        <f t="shared" si="2"/>
        <v>29505.7</v>
      </c>
      <c r="AA91" s="1">
        <f t="shared" si="2"/>
        <v>29505.7</v>
      </c>
      <c r="AB91" s="1">
        <f t="shared" si="2"/>
        <v>0</v>
      </c>
      <c r="AD91" s="247">
        <v>0</v>
      </c>
      <c r="AE91" s="247">
        <v>0</v>
      </c>
      <c r="AF91" s="247">
        <v>0</v>
      </c>
      <c r="AG91" s="246"/>
      <c r="AH91" s="540"/>
    </row>
    <row r="92" spans="1:34" x14ac:dyDescent="0.2">
      <c r="A92" s="8">
        <v>16100</v>
      </c>
      <c r="B92" s="8" t="s">
        <v>149</v>
      </c>
      <c r="C92" s="8" t="s">
        <v>42</v>
      </c>
      <c r="D92" s="29" t="s">
        <v>1</v>
      </c>
      <c r="E92" s="246"/>
      <c r="F92" s="1">
        <v>0</v>
      </c>
      <c r="G92" s="1">
        <v>0</v>
      </c>
      <c r="H92" s="1">
        <v>0</v>
      </c>
      <c r="I92" s="246"/>
      <c r="J92" s="1">
        <v>0</v>
      </c>
      <c r="K92" s="1">
        <v>0</v>
      </c>
      <c r="L92" s="1">
        <v>0</v>
      </c>
      <c r="M92" s="539"/>
      <c r="N92" s="1">
        <v>150</v>
      </c>
      <c r="O92" s="1">
        <v>150</v>
      </c>
      <c r="P92" s="1">
        <v>0</v>
      </c>
      <c r="Q92" s="246"/>
      <c r="R92" s="1">
        <v>2</v>
      </c>
      <c r="S92" s="1">
        <v>2</v>
      </c>
      <c r="T92" s="1">
        <v>0</v>
      </c>
      <c r="U92" s="246"/>
      <c r="V92" s="1">
        <f t="shared" si="3"/>
        <v>152</v>
      </c>
      <c r="W92" s="1">
        <f t="shared" si="3"/>
        <v>152</v>
      </c>
      <c r="X92" s="1">
        <f t="shared" si="3"/>
        <v>0</v>
      </c>
      <c r="Z92" s="1">
        <f t="shared" si="2"/>
        <v>0</v>
      </c>
      <c r="AA92" s="1">
        <f t="shared" si="2"/>
        <v>0</v>
      </c>
      <c r="AB92" s="1">
        <f t="shared" si="2"/>
        <v>0</v>
      </c>
      <c r="AD92" s="247">
        <v>46</v>
      </c>
      <c r="AE92" s="247">
        <v>46</v>
      </c>
      <c r="AF92" s="247">
        <v>0</v>
      </c>
      <c r="AG92" s="246"/>
      <c r="AH92" s="540"/>
    </row>
    <row r="93" spans="1:34" x14ac:dyDescent="0.2">
      <c r="A93" s="8">
        <v>16150</v>
      </c>
      <c r="B93" s="8" t="s">
        <v>150</v>
      </c>
      <c r="C93" s="8" t="s">
        <v>42</v>
      </c>
      <c r="D93" s="29" t="s">
        <v>1</v>
      </c>
      <c r="E93" s="246"/>
      <c r="F93" s="1">
        <v>0</v>
      </c>
      <c r="G93" s="1">
        <v>0</v>
      </c>
      <c r="H93" s="1">
        <v>0</v>
      </c>
      <c r="I93" s="246"/>
      <c r="J93" s="1">
        <v>6389.4</v>
      </c>
      <c r="K93" s="1">
        <v>6349</v>
      </c>
      <c r="L93" s="1">
        <v>40.4</v>
      </c>
      <c r="M93" s="539"/>
      <c r="N93" s="1">
        <v>5527</v>
      </c>
      <c r="O93" s="1">
        <v>5527</v>
      </c>
      <c r="P93" s="1">
        <v>0</v>
      </c>
      <c r="Q93" s="246"/>
      <c r="R93" s="1">
        <v>0</v>
      </c>
      <c r="S93" s="1">
        <v>0</v>
      </c>
      <c r="T93" s="1">
        <v>0</v>
      </c>
      <c r="U93" s="246"/>
      <c r="V93" s="1">
        <f t="shared" si="3"/>
        <v>11916.4</v>
      </c>
      <c r="W93" s="1">
        <f t="shared" si="3"/>
        <v>11876</v>
      </c>
      <c r="X93" s="1">
        <f t="shared" si="3"/>
        <v>40.4</v>
      </c>
      <c r="Z93" s="1">
        <f t="shared" si="2"/>
        <v>6389.4</v>
      </c>
      <c r="AA93" s="1">
        <f t="shared" si="2"/>
        <v>6349</v>
      </c>
      <c r="AB93" s="1">
        <f t="shared" si="2"/>
        <v>40.4</v>
      </c>
      <c r="AD93" s="247">
        <v>25.8</v>
      </c>
      <c r="AE93" s="247">
        <v>0</v>
      </c>
      <c r="AF93" s="247">
        <v>25.8</v>
      </c>
      <c r="AG93" s="246"/>
      <c r="AH93" s="540"/>
    </row>
    <row r="94" spans="1:34" x14ac:dyDescent="0.2">
      <c r="A94" s="8">
        <v>16200</v>
      </c>
      <c r="B94" s="8" t="s">
        <v>151</v>
      </c>
      <c r="C94" s="8" t="s">
        <v>42</v>
      </c>
      <c r="D94" s="29" t="s">
        <v>1</v>
      </c>
      <c r="E94" s="246"/>
      <c r="F94" s="1">
        <v>0</v>
      </c>
      <c r="G94" s="1">
        <v>0</v>
      </c>
      <c r="H94" s="1">
        <v>0</v>
      </c>
      <c r="I94" s="246"/>
      <c r="J94" s="1">
        <v>1931</v>
      </c>
      <c r="K94" s="1">
        <v>1931</v>
      </c>
      <c r="L94" s="1">
        <v>0</v>
      </c>
      <c r="M94" s="539"/>
      <c r="N94" s="1">
        <v>1049.4000000000001</v>
      </c>
      <c r="O94" s="1">
        <v>1049.4000000000001</v>
      </c>
      <c r="P94" s="1">
        <v>0</v>
      </c>
      <c r="Q94" s="246"/>
      <c r="R94" s="1">
        <v>14</v>
      </c>
      <c r="S94" s="1">
        <v>14</v>
      </c>
      <c r="T94" s="1">
        <v>0</v>
      </c>
      <c r="U94" s="246"/>
      <c r="V94" s="1">
        <f t="shared" si="3"/>
        <v>2994.4</v>
      </c>
      <c r="W94" s="1">
        <f t="shared" si="3"/>
        <v>2994.4</v>
      </c>
      <c r="X94" s="1">
        <f t="shared" si="3"/>
        <v>0</v>
      </c>
      <c r="Z94" s="1">
        <f t="shared" si="2"/>
        <v>1931</v>
      </c>
      <c r="AA94" s="1">
        <f t="shared" si="2"/>
        <v>1931</v>
      </c>
      <c r="AB94" s="1">
        <f t="shared" si="2"/>
        <v>0</v>
      </c>
      <c r="AD94" s="247">
        <v>1001.43</v>
      </c>
      <c r="AE94" s="247">
        <v>1001</v>
      </c>
      <c r="AF94" s="247">
        <v>0</v>
      </c>
      <c r="AG94" s="246"/>
      <c r="AH94" s="540"/>
    </row>
    <row r="95" spans="1:34" x14ac:dyDescent="0.2">
      <c r="A95" s="8">
        <v>16260</v>
      </c>
      <c r="B95" s="8" t="s">
        <v>63</v>
      </c>
      <c r="C95" s="8" t="s">
        <v>19</v>
      </c>
      <c r="D95" s="29" t="s">
        <v>3</v>
      </c>
      <c r="E95" s="246"/>
      <c r="F95" s="1">
        <v>14900</v>
      </c>
      <c r="G95" s="1">
        <v>14885</v>
      </c>
      <c r="H95" s="1">
        <v>15</v>
      </c>
      <c r="I95" s="246"/>
      <c r="J95" s="1">
        <v>0</v>
      </c>
      <c r="K95" s="1">
        <v>0</v>
      </c>
      <c r="L95" s="1">
        <v>0</v>
      </c>
      <c r="M95" s="539"/>
      <c r="N95" s="1">
        <v>0</v>
      </c>
      <c r="O95" s="1">
        <v>0</v>
      </c>
      <c r="P95" s="1">
        <v>0</v>
      </c>
      <c r="Q95" s="246"/>
      <c r="R95" s="1">
        <v>3491</v>
      </c>
      <c r="S95" s="1">
        <v>3491</v>
      </c>
      <c r="T95" s="1">
        <v>0</v>
      </c>
      <c r="U95" s="246"/>
      <c r="V95" s="1">
        <f t="shared" si="3"/>
        <v>18391</v>
      </c>
      <c r="W95" s="1">
        <f t="shared" si="3"/>
        <v>18376</v>
      </c>
      <c r="X95" s="1">
        <f t="shared" si="3"/>
        <v>15</v>
      </c>
      <c r="Z95" s="1">
        <f t="shared" si="2"/>
        <v>14900</v>
      </c>
      <c r="AA95" s="1">
        <f t="shared" si="2"/>
        <v>14885</v>
      </c>
      <c r="AB95" s="1">
        <f t="shared" si="2"/>
        <v>15</v>
      </c>
      <c r="AD95" s="247">
        <v>1023</v>
      </c>
      <c r="AE95" s="247">
        <v>1023</v>
      </c>
      <c r="AF95" s="247">
        <v>0</v>
      </c>
      <c r="AG95" s="246"/>
      <c r="AH95" s="540"/>
    </row>
    <row r="96" spans="1:34" x14ac:dyDescent="0.2">
      <c r="A96" s="8">
        <v>16350</v>
      </c>
      <c r="B96" s="8" t="s">
        <v>64</v>
      </c>
      <c r="C96" s="8" t="s">
        <v>19</v>
      </c>
      <c r="D96" s="29" t="s">
        <v>3</v>
      </c>
      <c r="E96" s="246"/>
      <c r="F96" s="1">
        <v>0</v>
      </c>
      <c r="G96" s="1">
        <v>0</v>
      </c>
      <c r="H96" s="1">
        <v>0</v>
      </c>
      <c r="I96" s="246"/>
      <c r="J96" s="1">
        <v>40146.120000000003</v>
      </c>
      <c r="K96" s="1">
        <v>38901.590000000004</v>
      </c>
      <c r="L96" s="1">
        <v>1244.53</v>
      </c>
      <c r="M96" s="539"/>
      <c r="N96" s="1">
        <v>2.1</v>
      </c>
      <c r="O96" s="1">
        <v>2.1</v>
      </c>
      <c r="P96" s="1">
        <v>0</v>
      </c>
      <c r="Q96" s="246"/>
      <c r="R96" s="1">
        <v>92.34</v>
      </c>
      <c r="S96" s="1">
        <v>92.34</v>
      </c>
      <c r="T96" s="1">
        <v>0</v>
      </c>
      <c r="U96" s="246"/>
      <c r="V96" s="1">
        <f t="shared" si="3"/>
        <v>40240.559999999998</v>
      </c>
      <c r="W96" s="1">
        <f t="shared" si="3"/>
        <v>38996.03</v>
      </c>
      <c r="X96" s="1">
        <f t="shared" si="3"/>
        <v>1244.53</v>
      </c>
      <c r="Z96" s="1">
        <f t="shared" si="2"/>
        <v>40146.120000000003</v>
      </c>
      <c r="AA96" s="1">
        <f t="shared" si="2"/>
        <v>38901.590000000004</v>
      </c>
      <c r="AB96" s="1">
        <f t="shared" si="2"/>
        <v>1244.53</v>
      </c>
      <c r="AD96" s="247">
        <v>1242.52</v>
      </c>
      <c r="AE96" s="247">
        <v>1218</v>
      </c>
      <c r="AF96" s="247">
        <v>24.85</v>
      </c>
      <c r="AG96" s="246"/>
      <c r="AH96" s="540"/>
    </row>
    <row r="97" spans="1:34" x14ac:dyDescent="0.2">
      <c r="A97" s="8">
        <v>16380</v>
      </c>
      <c r="B97" s="8" t="s">
        <v>152</v>
      </c>
      <c r="C97" s="8" t="s">
        <v>43</v>
      </c>
      <c r="D97" s="29" t="s">
        <v>4</v>
      </c>
      <c r="E97" s="246"/>
      <c r="F97" s="1">
        <v>0</v>
      </c>
      <c r="G97" s="1">
        <v>0</v>
      </c>
      <c r="H97" s="1">
        <v>0</v>
      </c>
      <c r="I97" s="246"/>
      <c r="J97" s="1">
        <v>14292.6</v>
      </c>
      <c r="K97" s="1">
        <v>14232.28</v>
      </c>
      <c r="L97" s="1">
        <v>60.32</v>
      </c>
      <c r="M97" s="539"/>
      <c r="N97" s="1">
        <v>1747.05</v>
      </c>
      <c r="O97" s="1">
        <v>1747.05</v>
      </c>
      <c r="P97" s="1">
        <v>0</v>
      </c>
      <c r="Q97" s="246"/>
      <c r="R97" s="1">
        <v>0</v>
      </c>
      <c r="S97" s="1">
        <v>0</v>
      </c>
      <c r="T97" s="1">
        <v>0</v>
      </c>
      <c r="U97" s="246"/>
      <c r="V97" s="1">
        <f t="shared" si="3"/>
        <v>16039.65</v>
      </c>
      <c r="W97" s="1">
        <f t="shared" si="3"/>
        <v>15979.33</v>
      </c>
      <c r="X97" s="1">
        <f t="shared" si="3"/>
        <v>60.32</v>
      </c>
      <c r="Z97" s="1">
        <f t="shared" si="2"/>
        <v>14292.6</v>
      </c>
      <c r="AA97" s="1">
        <f t="shared" si="2"/>
        <v>14232.28</v>
      </c>
      <c r="AB97" s="1">
        <f t="shared" si="2"/>
        <v>60.32</v>
      </c>
      <c r="AD97" s="247">
        <v>0</v>
      </c>
      <c r="AE97" s="247">
        <v>0</v>
      </c>
      <c r="AF97" s="247">
        <v>0</v>
      </c>
      <c r="AG97" s="246"/>
      <c r="AH97" s="540"/>
    </row>
    <row r="98" spans="1:34" x14ac:dyDescent="0.2">
      <c r="A98" s="8">
        <v>16400</v>
      </c>
      <c r="B98" s="8" t="s">
        <v>65</v>
      </c>
      <c r="C98" s="8" t="s">
        <v>25</v>
      </c>
      <c r="D98" s="29" t="s">
        <v>2</v>
      </c>
      <c r="E98" s="246"/>
      <c r="F98" s="1">
        <v>0</v>
      </c>
      <c r="G98" s="1">
        <v>0</v>
      </c>
      <c r="H98" s="1">
        <v>0</v>
      </c>
      <c r="I98" s="246"/>
      <c r="J98" s="1">
        <v>0</v>
      </c>
      <c r="K98" s="1">
        <v>0</v>
      </c>
      <c r="L98" s="1">
        <v>0</v>
      </c>
      <c r="M98" s="539"/>
      <c r="N98" s="1">
        <v>1839.26</v>
      </c>
      <c r="O98" s="1">
        <v>1839.26</v>
      </c>
      <c r="P98" s="1">
        <v>0</v>
      </c>
      <c r="Q98" s="246"/>
      <c r="R98" s="1">
        <v>17.86</v>
      </c>
      <c r="S98" s="1">
        <v>17.86</v>
      </c>
      <c r="T98" s="1">
        <v>0</v>
      </c>
      <c r="U98" s="246"/>
      <c r="V98" s="1">
        <f t="shared" si="3"/>
        <v>1857.12</v>
      </c>
      <c r="W98" s="1">
        <f t="shared" si="3"/>
        <v>1857.12</v>
      </c>
      <c r="X98" s="1">
        <f t="shared" si="3"/>
        <v>0</v>
      </c>
      <c r="Z98" s="1">
        <f t="shared" si="2"/>
        <v>0</v>
      </c>
      <c r="AA98" s="1">
        <f t="shared" si="2"/>
        <v>0</v>
      </c>
      <c r="AB98" s="1">
        <f t="shared" si="2"/>
        <v>0</v>
      </c>
      <c r="AD98" s="247">
        <v>0</v>
      </c>
      <c r="AE98" s="247">
        <v>0</v>
      </c>
      <c r="AF98" s="247">
        <v>0</v>
      </c>
      <c r="AG98" s="246"/>
      <c r="AH98" s="540"/>
    </row>
    <row r="99" spans="1:34" x14ac:dyDescent="0.2">
      <c r="A99" s="8">
        <v>16490</v>
      </c>
      <c r="B99" s="8" t="s">
        <v>153</v>
      </c>
      <c r="C99" s="8" t="s">
        <v>74</v>
      </c>
      <c r="D99" s="29" t="s">
        <v>1</v>
      </c>
      <c r="E99" s="246"/>
      <c r="F99" s="1">
        <v>2976</v>
      </c>
      <c r="G99" s="1">
        <v>2947</v>
      </c>
      <c r="H99" s="1">
        <v>29</v>
      </c>
      <c r="I99" s="246"/>
      <c r="J99" s="1">
        <v>682</v>
      </c>
      <c r="K99" s="1">
        <v>675</v>
      </c>
      <c r="L99" s="1">
        <v>7</v>
      </c>
      <c r="M99" s="539"/>
      <c r="N99" s="1">
        <v>3287.82</v>
      </c>
      <c r="O99" s="1">
        <v>3287.82</v>
      </c>
      <c r="P99" s="1">
        <v>0</v>
      </c>
      <c r="Q99" s="246"/>
      <c r="R99" s="1">
        <v>0</v>
      </c>
      <c r="S99" s="1">
        <v>0</v>
      </c>
      <c r="T99" s="1">
        <v>0</v>
      </c>
      <c r="U99" s="246"/>
      <c r="V99" s="1">
        <f t="shared" si="3"/>
        <v>6945.82</v>
      </c>
      <c r="W99" s="1">
        <f t="shared" si="3"/>
        <v>6909.82</v>
      </c>
      <c r="X99" s="1">
        <f t="shared" si="3"/>
        <v>36</v>
      </c>
      <c r="Z99" s="1">
        <f t="shared" si="2"/>
        <v>3658</v>
      </c>
      <c r="AA99" s="1">
        <f t="shared" si="2"/>
        <v>3622</v>
      </c>
      <c r="AB99" s="1">
        <f t="shared" si="2"/>
        <v>36</v>
      </c>
      <c r="AD99" s="247"/>
      <c r="AE99" s="247"/>
      <c r="AF99" s="247"/>
      <c r="AG99" s="246"/>
      <c r="AH99" s="540"/>
    </row>
    <row r="100" spans="1:34" x14ac:dyDescent="0.2">
      <c r="A100" s="8">
        <v>16550</v>
      </c>
      <c r="B100" s="8" t="s">
        <v>66</v>
      </c>
      <c r="C100" s="8" t="s">
        <v>18</v>
      </c>
      <c r="D100" s="29" t="s">
        <v>3</v>
      </c>
      <c r="E100" s="246"/>
      <c r="F100" s="1">
        <v>4899</v>
      </c>
      <c r="G100" s="1">
        <v>4610</v>
      </c>
      <c r="H100" s="1">
        <v>289</v>
      </c>
      <c r="I100" s="246"/>
      <c r="J100" s="1">
        <v>4345</v>
      </c>
      <c r="K100" s="1">
        <v>4280</v>
      </c>
      <c r="L100" s="1">
        <v>65</v>
      </c>
      <c r="M100" s="539"/>
      <c r="N100" s="1">
        <v>159</v>
      </c>
      <c r="O100" s="1">
        <v>159</v>
      </c>
      <c r="P100" s="1">
        <v>0</v>
      </c>
      <c r="Q100" s="246"/>
      <c r="R100" s="1">
        <v>0</v>
      </c>
      <c r="S100" s="1">
        <v>0</v>
      </c>
      <c r="T100" s="1">
        <v>0</v>
      </c>
      <c r="U100" s="246"/>
      <c r="V100" s="1">
        <f t="shared" si="3"/>
        <v>9403</v>
      </c>
      <c r="W100" s="1">
        <f t="shared" si="3"/>
        <v>9049</v>
      </c>
      <c r="X100" s="1">
        <f t="shared" si="3"/>
        <v>354</v>
      </c>
      <c r="Z100" s="1">
        <f t="shared" si="2"/>
        <v>9244</v>
      </c>
      <c r="AA100" s="1">
        <f t="shared" si="2"/>
        <v>8890</v>
      </c>
      <c r="AB100" s="1">
        <f t="shared" si="2"/>
        <v>354</v>
      </c>
      <c r="AD100" s="247">
        <v>0</v>
      </c>
      <c r="AE100" s="247">
        <v>0</v>
      </c>
      <c r="AF100" s="247">
        <v>0</v>
      </c>
      <c r="AG100" s="246"/>
      <c r="AH100" s="540"/>
    </row>
    <row r="101" spans="1:34" x14ac:dyDescent="0.2">
      <c r="A101" s="8">
        <v>16610</v>
      </c>
      <c r="B101" s="8" t="s">
        <v>154</v>
      </c>
      <c r="C101" s="8" t="s">
        <v>20</v>
      </c>
      <c r="D101" s="29" t="s">
        <v>4</v>
      </c>
      <c r="E101" s="246"/>
      <c r="F101" s="1">
        <v>0</v>
      </c>
      <c r="G101" s="1">
        <v>0</v>
      </c>
      <c r="H101" s="1">
        <v>0</v>
      </c>
      <c r="I101" s="246"/>
      <c r="J101" s="1">
        <v>3316</v>
      </c>
      <c r="K101" s="1">
        <v>3056</v>
      </c>
      <c r="L101" s="1">
        <v>260</v>
      </c>
      <c r="M101" s="539"/>
      <c r="N101" s="1">
        <v>450</v>
      </c>
      <c r="O101" s="1">
        <v>450</v>
      </c>
      <c r="P101" s="1">
        <v>0</v>
      </c>
      <c r="Q101" s="246"/>
      <c r="R101" s="1">
        <v>0</v>
      </c>
      <c r="S101" s="1">
        <v>0</v>
      </c>
      <c r="T101" s="1">
        <v>0</v>
      </c>
      <c r="U101" s="246"/>
      <c r="V101" s="1">
        <f t="shared" si="3"/>
        <v>3766</v>
      </c>
      <c r="W101" s="1">
        <f t="shared" si="3"/>
        <v>3506</v>
      </c>
      <c r="X101" s="1">
        <f t="shared" si="3"/>
        <v>260</v>
      </c>
      <c r="Z101" s="1">
        <f t="shared" si="2"/>
        <v>3316</v>
      </c>
      <c r="AA101" s="1">
        <f t="shared" si="2"/>
        <v>3056</v>
      </c>
      <c r="AB101" s="1">
        <f t="shared" si="2"/>
        <v>260</v>
      </c>
      <c r="AD101" s="247">
        <v>156</v>
      </c>
      <c r="AE101" s="247">
        <v>156</v>
      </c>
      <c r="AF101" s="247">
        <v>0</v>
      </c>
      <c r="AG101" s="246"/>
      <c r="AH101" s="540"/>
    </row>
    <row r="102" spans="1:34" x14ac:dyDescent="0.2">
      <c r="A102" s="8">
        <v>16700</v>
      </c>
      <c r="B102" s="8" t="s">
        <v>67</v>
      </c>
      <c r="C102" s="8" t="s">
        <v>26</v>
      </c>
      <c r="D102" s="29" t="s">
        <v>3</v>
      </c>
      <c r="E102" s="246"/>
      <c r="F102" s="1">
        <v>9983.34</v>
      </c>
      <c r="G102" s="1">
        <v>9833.64</v>
      </c>
      <c r="H102" s="1">
        <v>149.69999999999999</v>
      </c>
      <c r="I102" s="246"/>
      <c r="J102" s="1">
        <v>0</v>
      </c>
      <c r="K102" s="1">
        <v>0</v>
      </c>
      <c r="L102" s="1">
        <v>0</v>
      </c>
      <c r="M102" s="539"/>
      <c r="N102" s="1">
        <v>0</v>
      </c>
      <c r="O102" s="1">
        <v>0</v>
      </c>
      <c r="P102" s="1">
        <v>0</v>
      </c>
      <c r="Q102" s="246"/>
      <c r="R102" s="1">
        <v>105.1</v>
      </c>
      <c r="S102" s="1">
        <v>105.1</v>
      </c>
      <c r="T102" s="1">
        <v>0</v>
      </c>
      <c r="U102" s="246"/>
      <c r="V102" s="1">
        <f t="shared" si="3"/>
        <v>10088.44</v>
      </c>
      <c r="W102" s="1">
        <f t="shared" si="3"/>
        <v>9938.74</v>
      </c>
      <c r="X102" s="1">
        <f t="shared" si="3"/>
        <v>149.69999999999999</v>
      </c>
      <c r="Z102" s="1">
        <f t="shared" si="2"/>
        <v>9983.34</v>
      </c>
      <c r="AA102" s="1">
        <f t="shared" si="2"/>
        <v>9833.64</v>
      </c>
      <c r="AB102" s="1">
        <f t="shared" si="2"/>
        <v>149.69999999999999</v>
      </c>
      <c r="AD102" s="247">
        <v>83.94</v>
      </c>
      <c r="AE102" s="247">
        <v>83</v>
      </c>
      <c r="AF102" s="247">
        <v>0</v>
      </c>
      <c r="AG102" s="246"/>
      <c r="AH102" s="540"/>
    </row>
    <row r="103" spans="1:34" x14ac:dyDescent="0.2">
      <c r="A103" s="8">
        <v>16900</v>
      </c>
      <c r="B103" s="8" t="s">
        <v>155</v>
      </c>
      <c r="C103" s="8" t="s">
        <v>41</v>
      </c>
      <c r="D103" s="29" t="s">
        <v>2</v>
      </c>
      <c r="E103" s="246"/>
      <c r="F103" s="1">
        <v>0</v>
      </c>
      <c r="G103" s="1">
        <v>0</v>
      </c>
      <c r="H103" s="1">
        <v>0</v>
      </c>
      <c r="I103" s="246"/>
      <c r="J103" s="1">
        <v>13117</v>
      </c>
      <c r="K103" s="1">
        <v>12875</v>
      </c>
      <c r="L103" s="1">
        <v>242</v>
      </c>
      <c r="M103" s="539"/>
      <c r="N103" s="1">
        <v>955</v>
      </c>
      <c r="O103" s="1">
        <v>955</v>
      </c>
      <c r="P103" s="1">
        <v>0</v>
      </c>
      <c r="Q103" s="246"/>
      <c r="R103" s="1">
        <v>0</v>
      </c>
      <c r="S103" s="1">
        <v>0</v>
      </c>
      <c r="T103" s="1">
        <v>0</v>
      </c>
      <c r="U103" s="246"/>
      <c r="V103" s="1">
        <f t="shared" si="3"/>
        <v>14072</v>
      </c>
      <c r="W103" s="1">
        <f t="shared" si="3"/>
        <v>13830</v>
      </c>
      <c r="X103" s="1">
        <f t="shared" si="3"/>
        <v>242</v>
      </c>
      <c r="Z103" s="1">
        <f t="shared" si="2"/>
        <v>13117</v>
      </c>
      <c r="AA103" s="1">
        <f t="shared" si="2"/>
        <v>12875</v>
      </c>
      <c r="AB103" s="1">
        <f t="shared" si="2"/>
        <v>242</v>
      </c>
      <c r="AD103" s="247">
        <v>0</v>
      </c>
      <c r="AE103" s="247">
        <v>0</v>
      </c>
      <c r="AF103" s="247">
        <v>0</v>
      </c>
      <c r="AG103" s="246"/>
      <c r="AH103" s="540"/>
    </row>
    <row r="104" spans="1:34" x14ac:dyDescent="0.2">
      <c r="A104" s="8">
        <v>16950</v>
      </c>
      <c r="B104" s="8" t="s">
        <v>156</v>
      </c>
      <c r="C104" s="8" t="s">
        <v>41</v>
      </c>
      <c r="D104" s="29" t="s">
        <v>2</v>
      </c>
      <c r="E104" s="246"/>
      <c r="F104" s="1">
        <v>0</v>
      </c>
      <c r="G104" s="1">
        <v>0</v>
      </c>
      <c r="H104" s="1">
        <v>0</v>
      </c>
      <c r="I104" s="246"/>
      <c r="J104" s="1">
        <v>0</v>
      </c>
      <c r="K104" s="1">
        <v>0</v>
      </c>
      <c r="L104" s="1">
        <v>0</v>
      </c>
      <c r="M104" s="539"/>
      <c r="N104" s="1">
        <v>6394.4</v>
      </c>
      <c r="O104" s="1">
        <v>6394.4</v>
      </c>
      <c r="P104" s="1">
        <v>0</v>
      </c>
      <c r="Q104" s="246"/>
      <c r="R104" s="1">
        <v>8505.5</v>
      </c>
      <c r="S104" s="1">
        <v>8505.5</v>
      </c>
      <c r="T104" s="1">
        <v>0</v>
      </c>
      <c r="U104" s="246"/>
      <c r="V104" s="1">
        <f t="shared" si="3"/>
        <v>14899.9</v>
      </c>
      <c r="W104" s="1">
        <f t="shared" si="3"/>
        <v>14899.9</v>
      </c>
      <c r="X104" s="1">
        <f t="shared" si="3"/>
        <v>0</v>
      </c>
      <c r="Z104" s="1">
        <f t="shared" si="2"/>
        <v>0</v>
      </c>
      <c r="AA104" s="1">
        <f t="shared" si="2"/>
        <v>0</v>
      </c>
      <c r="AB104" s="1">
        <f t="shared" si="2"/>
        <v>0</v>
      </c>
      <c r="AD104" s="247">
        <v>0</v>
      </c>
      <c r="AE104" s="247">
        <v>0</v>
      </c>
      <c r="AF104" s="247">
        <v>0</v>
      </c>
      <c r="AG104" s="246"/>
      <c r="AH104" s="540"/>
    </row>
    <row r="105" spans="1:34" x14ac:dyDescent="0.2">
      <c r="A105" s="8">
        <v>17000</v>
      </c>
      <c r="B105" s="8" t="s">
        <v>157</v>
      </c>
      <c r="C105" s="8" t="s">
        <v>25</v>
      </c>
      <c r="D105" s="29" t="s">
        <v>4</v>
      </c>
      <c r="E105" s="246"/>
      <c r="F105" s="1">
        <v>2202.81</v>
      </c>
      <c r="G105" s="1">
        <v>2177.14</v>
      </c>
      <c r="H105" s="1">
        <v>25.67</v>
      </c>
      <c r="I105" s="246"/>
      <c r="J105" s="1">
        <v>0</v>
      </c>
      <c r="K105" s="1">
        <v>0</v>
      </c>
      <c r="L105" s="1">
        <v>0</v>
      </c>
      <c r="M105" s="539"/>
      <c r="N105" s="1">
        <v>353.38</v>
      </c>
      <c r="O105" s="1">
        <v>353.38</v>
      </c>
      <c r="P105" s="1">
        <v>0</v>
      </c>
      <c r="Q105" s="246"/>
      <c r="R105" s="1">
        <v>0</v>
      </c>
      <c r="S105" s="1">
        <v>0</v>
      </c>
      <c r="T105" s="1">
        <v>0</v>
      </c>
      <c r="U105" s="246"/>
      <c r="V105" s="1">
        <f t="shared" si="3"/>
        <v>2556.19</v>
      </c>
      <c r="W105" s="1">
        <f t="shared" si="3"/>
        <v>2530.52</v>
      </c>
      <c r="X105" s="1">
        <f t="shared" si="3"/>
        <v>25.67</v>
      </c>
      <c r="Z105" s="1">
        <f t="shared" si="2"/>
        <v>2202.81</v>
      </c>
      <c r="AA105" s="1">
        <f t="shared" si="2"/>
        <v>2177.14</v>
      </c>
      <c r="AB105" s="1">
        <f t="shared" si="2"/>
        <v>25.67</v>
      </c>
      <c r="AD105" s="247"/>
      <c r="AE105" s="247"/>
      <c r="AF105" s="247"/>
      <c r="AG105" s="246"/>
      <c r="AH105" s="540"/>
    </row>
    <row r="106" spans="1:34" x14ac:dyDescent="0.2">
      <c r="A106" s="8">
        <v>17040</v>
      </c>
      <c r="B106" s="8" t="s">
        <v>158</v>
      </c>
      <c r="C106" s="8" t="s">
        <v>74</v>
      </c>
      <c r="D106" s="29" t="s">
        <v>1</v>
      </c>
      <c r="E106" s="246"/>
      <c r="F106" s="1">
        <v>0</v>
      </c>
      <c r="G106" s="1">
        <v>0</v>
      </c>
      <c r="H106" s="1">
        <v>0</v>
      </c>
      <c r="I106" s="246"/>
      <c r="J106" s="1">
        <v>473.38</v>
      </c>
      <c r="K106" s="1">
        <v>473.38</v>
      </c>
      <c r="L106" s="1">
        <v>0</v>
      </c>
      <c r="M106" s="539"/>
      <c r="N106" s="1">
        <v>596.26</v>
      </c>
      <c r="O106" s="1">
        <v>596.26</v>
      </c>
      <c r="P106" s="1">
        <v>0</v>
      </c>
      <c r="Q106" s="246"/>
      <c r="R106" s="1">
        <v>0</v>
      </c>
      <c r="S106" s="1">
        <v>0</v>
      </c>
      <c r="T106" s="1">
        <v>0</v>
      </c>
      <c r="U106" s="246"/>
      <c r="V106" s="1">
        <f t="shared" si="3"/>
        <v>1069.6399999999999</v>
      </c>
      <c r="W106" s="1">
        <f t="shared" si="3"/>
        <v>1069.6399999999999</v>
      </c>
      <c r="X106" s="1">
        <f t="shared" si="3"/>
        <v>0</v>
      </c>
      <c r="Z106" s="1">
        <f t="shared" si="2"/>
        <v>473.38</v>
      </c>
      <c r="AA106" s="1">
        <f t="shared" si="2"/>
        <v>473.38</v>
      </c>
      <c r="AB106" s="1">
        <f t="shared" si="2"/>
        <v>0</v>
      </c>
      <c r="AD106" s="247"/>
      <c r="AE106" s="247"/>
      <c r="AF106" s="247"/>
      <c r="AG106" s="246"/>
      <c r="AH106" s="540"/>
    </row>
    <row r="107" spans="1:34" x14ac:dyDescent="0.2">
      <c r="A107" s="8">
        <v>17080</v>
      </c>
      <c r="B107" s="8" t="s">
        <v>159</v>
      </c>
      <c r="C107" s="8" t="s">
        <v>74</v>
      </c>
      <c r="D107" s="29" t="s">
        <v>1</v>
      </c>
      <c r="E107" s="246"/>
      <c r="F107" s="1">
        <v>0</v>
      </c>
      <c r="G107" s="1">
        <v>0</v>
      </c>
      <c r="H107" s="1">
        <v>0</v>
      </c>
      <c r="I107" s="246"/>
      <c r="J107" s="1">
        <v>0</v>
      </c>
      <c r="K107" s="1">
        <v>0</v>
      </c>
      <c r="L107" s="1">
        <v>0</v>
      </c>
      <c r="M107" s="539"/>
      <c r="N107" s="1">
        <v>150</v>
      </c>
      <c r="O107" s="1">
        <v>150</v>
      </c>
      <c r="P107" s="1">
        <v>0</v>
      </c>
      <c r="Q107" s="246"/>
      <c r="R107" s="1">
        <v>0</v>
      </c>
      <c r="S107" s="1">
        <v>0</v>
      </c>
      <c r="T107" s="1">
        <v>0</v>
      </c>
      <c r="U107" s="246"/>
      <c r="V107" s="1">
        <f t="shared" si="3"/>
        <v>150</v>
      </c>
      <c r="W107" s="1">
        <f t="shared" si="3"/>
        <v>150</v>
      </c>
      <c r="X107" s="1">
        <f t="shared" si="3"/>
        <v>0</v>
      </c>
      <c r="Z107" s="1">
        <f t="shared" si="2"/>
        <v>0</v>
      </c>
      <c r="AA107" s="1">
        <f t="shared" si="2"/>
        <v>0</v>
      </c>
      <c r="AB107" s="1">
        <f t="shared" si="2"/>
        <v>0</v>
      </c>
      <c r="AD107" s="247">
        <v>200</v>
      </c>
      <c r="AE107" s="247">
        <v>200</v>
      </c>
      <c r="AF107" s="247">
        <v>0</v>
      </c>
      <c r="AG107" s="246"/>
      <c r="AH107" s="540"/>
    </row>
    <row r="108" spans="1:34" x14ac:dyDescent="0.2">
      <c r="A108" s="8">
        <v>17100</v>
      </c>
      <c r="B108" s="8" t="s">
        <v>160</v>
      </c>
      <c r="C108" s="8"/>
      <c r="D108" s="29" t="s">
        <v>3</v>
      </c>
      <c r="E108" s="246"/>
      <c r="F108" s="1">
        <v>2451.2600000000002</v>
      </c>
      <c r="G108" s="1">
        <v>2451.2600000000002</v>
      </c>
      <c r="H108" s="1">
        <v>0</v>
      </c>
      <c r="I108" s="246"/>
      <c r="J108" s="1">
        <v>0</v>
      </c>
      <c r="K108" s="1">
        <v>0</v>
      </c>
      <c r="L108" s="1">
        <v>0</v>
      </c>
      <c r="M108" s="539"/>
      <c r="N108" s="1">
        <v>0</v>
      </c>
      <c r="O108" s="1">
        <v>0</v>
      </c>
      <c r="P108" s="1">
        <v>0</v>
      </c>
      <c r="Q108" s="246"/>
      <c r="R108" s="1">
        <v>0</v>
      </c>
      <c r="S108" s="1">
        <v>0</v>
      </c>
      <c r="T108" s="1">
        <v>0</v>
      </c>
      <c r="U108" s="246"/>
      <c r="V108" s="1">
        <f t="shared" si="3"/>
        <v>2451.2600000000002</v>
      </c>
      <c r="W108" s="1">
        <f t="shared" si="3"/>
        <v>2451.2600000000002</v>
      </c>
      <c r="X108" s="1">
        <f t="shared" si="3"/>
        <v>0</v>
      </c>
      <c r="Z108" s="1">
        <f t="shared" si="2"/>
        <v>2451.2600000000002</v>
      </c>
      <c r="AA108" s="1">
        <f t="shared" si="2"/>
        <v>2451.2600000000002</v>
      </c>
      <c r="AB108" s="1">
        <f t="shared" si="2"/>
        <v>0</v>
      </c>
      <c r="AD108" s="247">
        <v>479.23</v>
      </c>
      <c r="AE108" s="247">
        <v>479</v>
      </c>
      <c r="AF108" s="247">
        <v>0</v>
      </c>
      <c r="AG108" s="246"/>
      <c r="AH108" s="540"/>
    </row>
    <row r="109" spans="1:34" x14ac:dyDescent="0.2">
      <c r="A109" s="8">
        <v>17150</v>
      </c>
      <c r="B109" s="8" t="s">
        <v>161</v>
      </c>
      <c r="C109" s="8" t="s">
        <v>18</v>
      </c>
      <c r="D109" s="29" t="s">
        <v>3</v>
      </c>
      <c r="E109" s="246"/>
      <c r="F109" s="1">
        <v>30978</v>
      </c>
      <c r="G109" s="1">
        <v>30978</v>
      </c>
      <c r="H109" s="1">
        <v>0</v>
      </c>
      <c r="I109" s="246"/>
      <c r="J109" s="1">
        <v>0</v>
      </c>
      <c r="K109" s="1">
        <v>0</v>
      </c>
      <c r="L109" s="1">
        <v>0</v>
      </c>
      <c r="M109" s="539"/>
      <c r="N109" s="1">
        <v>0</v>
      </c>
      <c r="O109" s="1">
        <v>0</v>
      </c>
      <c r="P109" s="1">
        <v>0</v>
      </c>
      <c r="Q109" s="246"/>
      <c r="R109" s="1">
        <v>0</v>
      </c>
      <c r="S109" s="1">
        <v>0</v>
      </c>
      <c r="T109" s="1">
        <v>0</v>
      </c>
      <c r="U109" s="246"/>
      <c r="V109" s="1">
        <f t="shared" si="3"/>
        <v>30978</v>
      </c>
      <c r="W109" s="1">
        <f t="shared" si="3"/>
        <v>30978</v>
      </c>
      <c r="X109" s="1">
        <f t="shared" si="3"/>
        <v>0</v>
      </c>
      <c r="Z109" s="1">
        <f t="shared" si="2"/>
        <v>30978</v>
      </c>
      <c r="AA109" s="1">
        <f t="shared" si="2"/>
        <v>30978</v>
      </c>
      <c r="AB109" s="1">
        <f t="shared" si="2"/>
        <v>0</v>
      </c>
      <c r="AD109" s="247">
        <v>0</v>
      </c>
      <c r="AE109" s="247">
        <v>0</v>
      </c>
      <c r="AF109" s="247">
        <v>0</v>
      </c>
      <c r="AG109" s="246"/>
      <c r="AH109" s="540"/>
    </row>
    <row r="110" spans="1:34" x14ac:dyDescent="0.2">
      <c r="A110" s="8">
        <v>17200</v>
      </c>
      <c r="B110" s="8" t="s">
        <v>68</v>
      </c>
      <c r="C110" s="8" t="s">
        <v>18</v>
      </c>
      <c r="D110" s="29" t="s">
        <v>3</v>
      </c>
      <c r="E110" s="246"/>
      <c r="F110" s="1">
        <v>1680</v>
      </c>
      <c r="G110" s="1">
        <v>1598</v>
      </c>
      <c r="H110" s="1">
        <v>82</v>
      </c>
      <c r="I110" s="246"/>
      <c r="J110" s="1">
        <v>0</v>
      </c>
      <c r="K110" s="1">
        <v>0</v>
      </c>
      <c r="L110" s="1">
        <v>0</v>
      </c>
      <c r="M110" s="539"/>
      <c r="N110" s="1">
        <v>0</v>
      </c>
      <c r="O110" s="1">
        <v>0</v>
      </c>
      <c r="P110" s="1">
        <v>0</v>
      </c>
      <c r="Q110" s="246"/>
      <c r="R110" s="1">
        <v>0</v>
      </c>
      <c r="S110" s="1">
        <v>0</v>
      </c>
      <c r="T110" s="1">
        <v>0</v>
      </c>
      <c r="U110" s="246"/>
      <c r="V110" s="1">
        <f t="shared" si="3"/>
        <v>1680</v>
      </c>
      <c r="W110" s="1">
        <f t="shared" si="3"/>
        <v>1598</v>
      </c>
      <c r="X110" s="1">
        <f t="shared" si="3"/>
        <v>82</v>
      </c>
      <c r="Z110" s="1">
        <f t="shared" si="2"/>
        <v>1680</v>
      </c>
      <c r="AA110" s="1">
        <f t="shared" si="2"/>
        <v>1598</v>
      </c>
      <c r="AB110" s="1">
        <f t="shared" si="2"/>
        <v>82</v>
      </c>
      <c r="AD110" s="247">
        <v>4551</v>
      </c>
      <c r="AE110" s="247">
        <v>3893</v>
      </c>
      <c r="AF110" s="247">
        <v>658</v>
      </c>
      <c r="AG110" s="246"/>
      <c r="AH110" s="540"/>
    </row>
    <row r="111" spans="1:34" x14ac:dyDescent="0.2">
      <c r="A111" s="8">
        <v>17310</v>
      </c>
      <c r="B111" s="8" t="s">
        <v>162</v>
      </c>
      <c r="C111" s="8" t="s">
        <v>17</v>
      </c>
      <c r="D111" s="29" t="s">
        <v>1</v>
      </c>
      <c r="E111" s="246"/>
      <c r="F111" s="1">
        <v>4913.5</v>
      </c>
      <c r="G111" s="1">
        <v>4885.4799999999996</v>
      </c>
      <c r="H111" s="1">
        <v>28.02</v>
      </c>
      <c r="I111" s="246"/>
      <c r="J111" s="1">
        <v>0</v>
      </c>
      <c r="K111" s="1">
        <v>0</v>
      </c>
      <c r="L111" s="1">
        <v>0</v>
      </c>
      <c r="M111" s="539"/>
      <c r="N111" s="1">
        <v>7001.8</v>
      </c>
      <c r="O111" s="1">
        <v>7001.8</v>
      </c>
      <c r="P111" s="1">
        <v>0</v>
      </c>
      <c r="Q111" s="246"/>
      <c r="R111" s="1">
        <v>0</v>
      </c>
      <c r="S111" s="1">
        <v>0</v>
      </c>
      <c r="T111" s="1">
        <v>0</v>
      </c>
      <c r="U111" s="246"/>
      <c r="V111" s="1">
        <f t="shared" si="3"/>
        <v>11915.3</v>
      </c>
      <c r="W111" s="1">
        <f t="shared" si="3"/>
        <v>11887.279999999999</v>
      </c>
      <c r="X111" s="1">
        <f t="shared" si="3"/>
        <v>28.02</v>
      </c>
      <c r="Z111" s="1">
        <f t="shared" si="2"/>
        <v>4913.5</v>
      </c>
      <c r="AA111" s="1">
        <f t="shared" si="2"/>
        <v>4885.4799999999996</v>
      </c>
      <c r="AB111" s="1">
        <f t="shared" si="2"/>
        <v>28.02</v>
      </c>
      <c r="AD111" s="247">
        <v>0</v>
      </c>
      <c r="AE111" s="247">
        <v>0</v>
      </c>
      <c r="AF111" s="247">
        <v>0</v>
      </c>
      <c r="AG111" s="246"/>
      <c r="AH111" s="540"/>
    </row>
    <row r="112" spans="1:34" x14ac:dyDescent="0.2">
      <c r="A112" s="8">
        <v>17350</v>
      </c>
      <c r="B112" s="8" t="s">
        <v>163</v>
      </c>
      <c r="C112" s="8" t="s">
        <v>22</v>
      </c>
      <c r="D112" s="29" t="s">
        <v>1</v>
      </c>
      <c r="E112" s="246"/>
      <c r="F112" s="1">
        <v>0</v>
      </c>
      <c r="G112" s="1">
        <v>0</v>
      </c>
      <c r="H112" s="1">
        <v>0</v>
      </c>
      <c r="I112" s="246"/>
      <c r="J112" s="1">
        <v>0</v>
      </c>
      <c r="K112" s="1">
        <v>0</v>
      </c>
      <c r="L112" s="1">
        <v>0</v>
      </c>
      <c r="M112" s="539"/>
      <c r="N112" s="1">
        <v>463</v>
      </c>
      <c r="O112" s="1">
        <v>463</v>
      </c>
      <c r="P112" s="1">
        <v>0</v>
      </c>
      <c r="Q112" s="246"/>
      <c r="R112" s="1">
        <v>0</v>
      </c>
      <c r="S112" s="1">
        <v>0</v>
      </c>
      <c r="T112" s="1">
        <v>0</v>
      </c>
      <c r="U112" s="246"/>
      <c r="V112" s="1">
        <f t="shared" si="3"/>
        <v>463</v>
      </c>
      <c r="W112" s="1">
        <f t="shared" si="3"/>
        <v>463</v>
      </c>
      <c r="X112" s="1">
        <f t="shared" si="3"/>
        <v>0</v>
      </c>
      <c r="Z112" s="1">
        <f t="shared" si="2"/>
        <v>0</v>
      </c>
      <c r="AA112" s="1">
        <f t="shared" si="2"/>
        <v>0</v>
      </c>
      <c r="AB112" s="1">
        <f t="shared" si="2"/>
        <v>0</v>
      </c>
      <c r="AD112" s="247"/>
      <c r="AE112" s="247"/>
      <c r="AF112" s="247"/>
      <c r="AG112" s="246"/>
      <c r="AH112" s="540"/>
    </row>
    <row r="113" spans="1:34" x14ac:dyDescent="0.2">
      <c r="A113" s="8">
        <v>17400</v>
      </c>
      <c r="B113" s="8" t="s">
        <v>164</v>
      </c>
      <c r="C113" s="8" t="s">
        <v>17</v>
      </c>
      <c r="D113" s="29" t="s">
        <v>1</v>
      </c>
      <c r="E113" s="246"/>
      <c r="F113" s="1">
        <v>0</v>
      </c>
      <c r="G113" s="1">
        <v>0</v>
      </c>
      <c r="H113" s="1">
        <v>0</v>
      </c>
      <c r="I113" s="246"/>
      <c r="J113" s="1">
        <v>0</v>
      </c>
      <c r="K113" s="1">
        <v>0</v>
      </c>
      <c r="L113" s="1">
        <v>0</v>
      </c>
      <c r="M113" s="539"/>
      <c r="N113" s="1">
        <v>180</v>
      </c>
      <c r="O113" s="1">
        <v>180</v>
      </c>
      <c r="P113" s="1">
        <v>0</v>
      </c>
      <c r="Q113" s="246"/>
      <c r="R113" s="1">
        <v>0</v>
      </c>
      <c r="S113" s="1">
        <v>0</v>
      </c>
      <c r="T113" s="1">
        <v>0</v>
      </c>
      <c r="U113" s="246"/>
      <c r="V113" s="1">
        <f t="shared" si="3"/>
        <v>180</v>
      </c>
      <c r="W113" s="1">
        <f t="shared" si="3"/>
        <v>180</v>
      </c>
      <c r="X113" s="1">
        <f t="shared" si="3"/>
        <v>0</v>
      </c>
      <c r="Z113" s="1">
        <f t="shared" si="2"/>
        <v>0</v>
      </c>
      <c r="AA113" s="1">
        <f t="shared" si="2"/>
        <v>0</v>
      </c>
      <c r="AB113" s="1">
        <f t="shared" si="2"/>
        <v>0</v>
      </c>
      <c r="AD113" s="247">
        <v>15</v>
      </c>
      <c r="AE113" s="247">
        <v>0</v>
      </c>
      <c r="AF113" s="247">
        <v>15</v>
      </c>
      <c r="AG113" s="246"/>
      <c r="AH113" s="540"/>
    </row>
    <row r="114" spans="1:34" x14ac:dyDescent="0.2">
      <c r="A114" s="8">
        <v>17420</v>
      </c>
      <c r="B114" s="8" t="s">
        <v>165</v>
      </c>
      <c r="C114" s="8" t="s">
        <v>19</v>
      </c>
      <c r="D114" s="29" t="s">
        <v>3</v>
      </c>
      <c r="E114" s="246"/>
      <c r="F114" s="1">
        <v>19478</v>
      </c>
      <c r="G114" s="1">
        <v>19146.87</v>
      </c>
      <c r="H114" s="1">
        <v>331.13</v>
      </c>
      <c r="I114" s="246"/>
      <c r="J114" s="1">
        <v>0</v>
      </c>
      <c r="K114" s="1">
        <v>0</v>
      </c>
      <c r="L114" s="1">
        <v>0</v>
      </c>
      <c r="M114" s="539"/>
      <c r="N114" s="1">
        <v>0</v>
      </c>
      <c r="O114" s="1">
        <v>0</v>
      </c>
      <c r="P114" s="1">
        <v>0</v>
      </c>
      <c r="Q114" s="246"/>
      <c r="R114" s="1">
        <v>2083.0300000000002</v>
      </c>
      <c r="S114" s="1">
        <v>2083.0300000000002</v>
      </c>
      <c r="T114" s="1">
        <v>0</v>
      </c>
      <c r="U114" s="246"/>
      <c r="V114" s="1">
        <f t="shared" si="3"/>
        <v>21561.03</v>
      </c>
      <c r="W114" s="1">
        <f t="shared" si="3"/>
        <v>21229.899999999998</v>
      </c>
      <c r="X114" s="1">
        <f t="shared" si="3"/>
        <v>331.13</v>
      </c>
      <c r="Z114" s="1">
        <f t="shared" si="2"/>
        <v>19478</v>
      </c>
      <c r="AA114" s="1">
        <f t="shared" si="2"/>
        <v>19146.87</v>
      </c>
      <c r="AB114" s="1">
        <f t="shared" si="2"/>
        <v>331.13</v>
      </c>
      <c r="AD114" s="247">
        <v>0</v>
      </c>
      <c r="AE114" s="247">
        <v>0</v>
      </c>
      <c r="AF114" s="247">
        <v>0</v>
      </c>
      <c r="AG114" s="246"/>
      <c r="AH114" s="540"/>
    </row>
    <row r="115" spans="1:34" x14ac:dyDescent="0.2">
      <c r="A115" s="8">
        <v>17550</v>
      </c>
      <c r="B115" s="8" t="s">
        <v>166</v>
      </c>
      <c r="C115" s="8" t="s">
        <v>20</v>
      </c>
      <c r="D115" s="29" t="s">
        <v>4</v>
      </c>
      <c r="E115" s="246"/>
      <c r="F115" s="1">
        <v>0</v>
      </c>
      <c r="G115" s="1">
        <v>0</v>
      </c>
      <c r="H115" s="1">
        <v>0</v>
      </c>
      <c r="I115" s="246"/>
      <c r="J115" s="1">
        <v>12860</v>
      </c>
      <c r="K115" s="1">
        <v>12603</v>
      </c>
      <c r="L115" s="1">
        <v>257</v>
      </c>
      <c r="M115" s="539"/>
      <c r="N115" s="1">
        <v>1670.42</v>
      </c>
      <c r="O115" s="1">
        <v>1670.42</v>
      </c>
      <c r="P115" s="1">
        <v>0</v>
      </c>
      <c r="Q115" s="246"/>
      <c r="R115" s="1">
        <v>0</v>
      </c>
      <c r="S115" s="1">
        <v>0</v>
      </c>
      <c r="T115" s="1">
        <v>0</v>
      </c>
      <c r="U115" s="246"/>
      <c r="V115" s="1">
        <f t="shared" si="3"/>
        <v>14530.42</v>
      </c>
      <c r="W115" s="1">
        <f t="shared" si="3"/>
        <v>14273.42</v>
      </c>
      <c r="X115" s="1">
        <f t="shared" si="3"/>
        <v>257</v>
      </c>
      <c r="Z115" s="1">
        <f t="shared" si="2"/>
        <v>12860</v>
      </c>
      <c r="AA115" s="1">
        <f t="shared" si="2"/>
        <v>12603</v>
      </c>
      <c r="AB115" s="1">
        <f t="shared" si="2"/>
        <v>257</v>
      </c>
      <c r="AD115" s="247"/>
      <c r="AE115" s="247"/>
      <c r="AF115" s="247"/>
      <c r="AG115" s="246"/>
      <c r="AH115" s="540"/>
    </row>
    <row r="116" spans="1:34" x14ac:dyDescent="0.2">
      <c r="A116" s="8">
        <v>17620</v>
      </c>
      <c r="B116" s="8" t="s">
        <v>167</v>
      </c>
      <c r="C116" s="8" t="s">
        <v>25</v>
      </c>
      <c r="D116" s="29" t="s">
        <v>4</v>
      </c>
      <c r="E116" s="246"/>
      <c r="F116" s="1">
        <v>0</v>
      </c>
      <c r="G116" s="1">
        <v>0</v>
      </c>
      <c r="H116" s="1">
        <v>0</v>
      </c>
      <c r="I116" s="246"/>
      <c r="J116" s="1">
        <v>0</v>
      </c>
      <c r="K116" s="1">
        <v>0</v>
      </c>
      <c r="L116" s="1">
        <v>0</v>
      </c>
      <c r="M116" s="539"/>
      <c r="N116" s="1">
        <v>0</v>
      </c>
      <c r="O116" s="1">
        <v>0</v>
      </c>
      <c r="P116" s="1">
        <v>0</v>
      </c>
      <c r="Q116" s="246"/>
      <c r="R116" s="1">
        <v>3.36</v>
      </c>
      <c r="S116" s="1">
        <v>3.36</v>
      </c>
      <c r="T116" s="1">
        <v>0</v>
      </c>
      <c r="U116" s="246"/>
      <c r="V116" s="1">
        <f t="shared" si="3"/>
        <v>3.36</v>
      </c>
      <c r="W116" s="1">
        <f t="shared" si="3"/>
        <v>3.36</v>
      </c>
      <c r="X116" s="1">
        <f t="shared" si="3"/>
        <v>0</v>
      </c>
      <c r="Z116" s="1">
        <f t="shared" si="2"/>
        <v>0</v>
      </c>
      <c r="AA116" s="1">
        <f t="shared" si="2"/>
        <v>0</v>
      </c>
      <c r="AB116" s="1">
        <f t="shared" si="2"/>
        <v>0</v>
      </c>
      <c r="AD116" s="247">
        <v>255.11</v>
      </c>
      <c r="AE116" s="247">
        <v>255</v>
      </c>
      <c r="AF116" s="247">
        <v>0</v>
      </c>
      <c r="AG116" s="246"/>
      <c r="AH116" s="540"/>
    </row>
    <row r="117" spans="1:34" x14ac:dyDescent="0.2">
      <c r="A117" s="8">
        <v>17640</v>
      </c>
      <c r="B117" s="8" t="s">
        <v>168</v>
      </c>
      <c r="C117" s="8" t="s">
        <v>74</v>
      </c>
      <c r="D117" s="29" t="s">
        <v>1</v>
      </c>
      <c r="E117" s="246"/>
      <c r="F117" s="1">
        <v>400</v>
      </c>
      <c r="G117" s="1">
        <v>400</v>
      </c>
      <c r="H117" s="1">
        <v>0</v>
      </c>
      <c r="I117" s="246"/>
      <c r="J117" s="1">
        <v>0</v>
      </c>
      <c r="K117" s="1">
        <v>0</v>
      </c>
      <c r="L117" s="1">
        <v>0</v>
      </c>
      <c r="M117" s="539"/>
      <c r="N117" s="1">
        <v>0</v>
      </c>
      <c r="O117" s="1">
        <v>0</v>
      </c>
      <c r="P117" s="1">
        <v>0</v>
      </c>
      <c r="Q117" s="246"/>
      <c r="R117" s="1">
        <v>0</v>
      </c>
      <c r="S117" s="1">
        <v>0</v>
      </c>
      <c r="T117" s="1">
        <v>0</v>
      </c>
      <c r="U117" s="246"/>
      <c r="V117" s="1">
        <f t="shared" si="3"/>
        <v>400</v>
      </c>
      <c r="W117" s="1">
        <f t="shared" si="3"/>
        <v>400</v>
      </c>
      <c r="X117" s="1">
        <f t="shared" si="3"/>
        <v>0</v>
      </c>
      <c r="Z117" s="1">
        <f t="shared" si="2"/>
        <v>400</v>
      </c>
      <c r="AA117" s="1">
        <f t="shared" si="2"/>
        <v>400</v>
      </c>
      <c r="AB117" s="1">
        <f t="shared" si="2"/>
        <v>0</v>
      </c>
      <c r="AD117" s="247"/>
      <c r="AE117" s="247"/>
      <c r="AF117" s="247"/>
      <c r="AG117" s="246"/>
      <c r="AH117" s="540"/>
    </row>
    <row r="118" spans="1:34" x14ac:dyDescent="0.2">
      <c r="A118" s="8">
        <v>17650</v>
      </c>
      <c r="B118" s="8" t="s">
        <v>169</v>
      </c>
      <c r="C118" s="8" t="s">
        <v>17</v>
      </c>
      <c r="D118" s="29" t="s">
        <v>1</v>
      </c>
      <c r="E118" s="246"/>
      <c r="F118" s="1">
        <v>42.1</v>
      </c>
      <c r="G118" s="1">
        <v>42.1</v>
      </c>
      <c r="H118" s="1">
        <v>0</v>
      </c>
      <c r="I118" s="246"/>
      <c r="J118" s="1">
        <v>0</v>
      </c>
      <c r="K118" s="1">
        <v>0</v>
      </c>
      <c r="L118" s="1">
        <v>0</v>
      </c>
      <c r="M118" s="539"/>
      <c r="N118" s="1">
        <v>1663.5</v>
      </c>
      <c r="O118" s="1">
        <v>1663.5</v>
      </c>
      <c r="P118" s="1">
        <v>0</v>
      </c>
      <c r="Q118" s="246"/>
      <c r="R118" s="1">
        <v>0</v>
      </c>
      <c r="S118" s="1">
        <v>0</v>
      </c>
      <c r="T118" s="1">
        <v>0</v>
      </c>
      <c r="U118" s="246"/>
      <c r="V118" s="1">
        <f t="shared" si="3"/>
        <v>1705.6</v>
      </c>
      <c r="W118" s="1">
        <f t="shared" si="3"/>
        <v>1705.6</v>
      </c>
      <c r="X118" s="1">
        <f t="shared" si="3"/>
        <v>0</v>
      </c>
      <c r="Z118" s="1">
        <f t="shared" si="2"/>
        <v>42.1</v>
      </c>
      <c r="AA118" s="1">
        <f t="shared" si="2"/>
        <v>42.1</v>
      </c>
      <c r="AB118" s="1">
        <f t="shared" si="2"/>
        <v>0</v>
      </c>
      <c r="AD118" s="247"/>
      <c r="AE118" s="247"/>
      <c r="AF118" s="247"/>
      <c r="AG118" s="246"/>
      <c r="AH118" s="540"/>
    </row>
    <row r="119" spans="1:34" x14ac:dyDescent="0.2">
      <c r="A119" s="8">
        <v>17750</v>
      </c>
      <c r="B119" s="8" t="s">
        <v>170</v>
      </c>
      <c r="C119" s="8" t="s">
        <v>22</v>
      </c>
      <c r="D119" s="29" t="s">
        <v>1</v>
      </c>
      <c r="E119" s="246"/>
      <c r="F119" s="1">
        <v>0</v>
      </c>
      <c r="G119" s="1">
        <v>0</v>
      </c>
      <c r="H119" s="1">
        <v>0</v>
      </c>
      <c r="I119" s="246"/>
      <c r="J119" s="1">
        <v>13592</v>
      </c>
      <c r="K119" s="1">
        <v>14326</v>
      </c>
      <c r="L119" s="1">
        <v>-734</v>
      </c>
      <c r="M119" s="539"/>
      <c r="N119" s="1">
        <v>1317</v>
      </c>
      <c r="O119" s="1">
        <v>36</v>
      </c>
      <c r="P119" s="1">
        <v>1281</v>
      </c>
      <c r="Q119" s="246"/>
      <c r="R119" s="1">
        <v>0</v>
      </c>
      <c r="S119" s="1">
        <v>0</v>
      </c>
      <c r="T119" s="1">
        <v>0</v>
      </c>
      <c r="U119" s="246"/>
      <c r="V119" s="1">
        <f t="shared" si="3"/>
        <v>14909</v>
      </c>
      <c r="W119" s="1">
        <f t="shared" si="3"/>
        <v>14362</v>
      </c>
      <c r="X119" s="1">
        <f t="shared" si="3"/>
        <v>547</v>
      </c>
      <c r="Z119" s="1">
        <f t="shared" si="2"/>
        <v>13592</v>
      </c>
      <c r="AA119" s="1">
        <f t="shared" si="2"/>
        <v>14326</v>
      </c>
      <c r="AB119" s="1">
        <f t="shared" si="2"/>
        <v>-734</v>
      </c>
      <c r="AD119" s="247">
        <v>1253</v>
      </c>
      <c r="AE119" s="247">
        <v>0</v>
      </c>
      <c r="AF119" s="247">
        <v>1253</v>
      </c>
      <c r="AG119" s="246"/>
      <c r="AH119" s="540"/>
    </row>
    <row r="120" spans="1:34" x14ac:dyDescent="0.2">
      <c r="A120" s="8">
        <v>17850</v>
      </c>
      <c r="B120" s="8" t="s">
        <v>171</v>
      </c>
      <c r="C120" s="8" t="s">
        <v>17</v>
      </c>
      <c r="D120" s="29" t="s">
        <v>1</v>
      </c>
      <c r="E120" s="246"/>
      <c r="F120" s="1">
        <v>161.15</v>
      </c>
      <c r="G120" s="1">
        <v>161.15</v>
      </c>
      <c r="H120" s="1">
        <v>0</v>
      </c>
      <c r="I120" s="246"/>
      <c r="J120" s="1">
        <v>0</v>
      </c>
      <c r="K120" s="1">
        <v>0</v>
      </c>
      <c r="L120" s="1">
        <v>0</v>
      </c>
      <c r="M120" s="539"/>
      <c r="N120" s="1">
        <v>0</v>
      </c>
      <c r="O120" s="1">
        <v>0</v>
      </c>
      <c r="P120" s="1">
        <v>0</v>
      </c>
      <c r="Q120" s="246"/>
      <c r="R120" s="1">
        <v>0</v>
      </c>
      <c r="S120" s="1">
        <v>0</v>
      </c>
      <c r="T120" s="1">
        <v>0</v>
      </c>
      <c r="U120" s="246"/>
      <c r="V120" s="1">
        <f t="shared" si="3"/>
        <v>161.15</v>
      </c>
      <c r="W120" s="1">
        <f t="shared" si="3"/>
        <v>161.15</v>
      </c>
      <c r="X120" s="1">
        <f t="shared" si="3"/>
        <v>0</v>
      </c>
      <c r="Z120" s="1">
        <f t="shared" si="2"/>
        <v>161.15</v>
      </c>
      <c r="AA120" s="1">
        <f t="shared" si="2"/>
        <v>161.15</v>
      </c>
      <c r="AB120" s="1">
        <f t="shared" si="2"/>
        <v>0</v>
      </c>
      <c r="AD120" s="247"/>
      <c r="AE120" s="247"/>
      <c r="AF120" s="247"/>
      <c r="AG120" s="246"/>
      <c r="AH120" s="540"/>
    </row>
    <row r="121" spans="1:34" x14ac:dyDescent="0.2">
      <c r="A121" s="8">
        <v>17900</v>
      </c>
      <c r="B121" s="8" t="s">
        <v>172</v>
      </c>
      <c r="C121" s="8" t="s">
        <v>42</v>
      </c>
      <c r="D121" s="29" t="s">
        <v>1</v>
      </c>
      <c r="E121" s="246"/>
      <c r="F121" s="1">
        <v>0</v>
      </c>
      <c r="G121" s="1">
        <v>0</v>
      </c>
      <c r="H121" s="1">
        <v>0</v>
      </c>
      <c r="I121" s="246"/>
      <c r="J121" s="1">
        <v>0</v>
      </c>
      <c r="K121" s="1">
        <v>0</v>
      </c>
      <c r="L121" s="1">
        <v>0</v>
      </c>
      <c r="M121" s="539"/>
      <c r="N121" s="1">
        <v>0</v>
      </c>
      <c r="O121" s="1">
        <v>0</v>
      </c>
      <c r="P121" s="1">
        <v>0</v>
      </c>
      <c r="Q121" s="246"/>
      <c r="R121" s="1">
        <v>0</v>
      </c>
      <c r="S121" s="1">
        <v>0</v>
      </c>
      <c r="T121" s="1">
        <v>0</v>
      </c>
      <c r="U121" s="246"/>
      <c r="V121" s="1">
        <f t="shared" si="3"/>
        <v>0</v>
      </c>
      <c r="W121" s="1">
        <f t="shared" si="3"/>
        <v>0</v>
      </c>
      <c r="X121" s="1">
        <f t="shared" si="3"/>
        <v>0</v>
      </c>
      <c r="Z121" s="1">
        <f t="shared" si="2"/>
        <v>0</v>
      </c>
      <c r="AA121" s="1">
        <f t="shared" si="2"/>
        <v>0</v>
      </c>
      <c r="AB121" s="1">
        <f t="shared" si="2"/>
        <v>0</v>
      </c>
      <c r="AD121" s="247"/>
      <c r="AE121" s="247"/>
      <c r="AF121" s="247"/>
      <c r="AG121" s="246"/>
      <c r="AH121" s="540"/>
    </row>
    <row r="122" spans="1:34" x14ac:dyDescent="0.2">
      <c r="A122" s="8">
        <v>17950</v>
      </c>
      <c r="B122" s="8" t="s">
        <v>173</v>
      </c>
      <c r="C122" s="8" t="s">
        <v>42</v>
      </c>
      <c r="D122" s="29" t="s">
        <v>1</v>
      </c>
      <c r="E122" s="246"/>
      <c r="F122" s="1">
        <v>0</v>
      </c>
      <c r="G122" s="1">
        <v>0</v>
      </c>
      <c r="H122" s="1">
        <v>0</v>
      </c>
      <c r="I122" s="246"/>
      <c r="J122" s="1">
        <v>0</v>
      </c>
      <c r="K122" s="1">
        <v>0</v>
      </c>
      <c r="L122" s="1">
        <v>0</v>
      </c>
      <c r="M122" s="539"/>
      <c r="N122" s="1">
        <v>400</v>
      </c>
      <c r="O122" s="1">
        <v>0</v>
      </c>
      <c r="P122" s="1">
        <v>400</v>
      </c>
      <c r="Q122" s="246"/>
      <c r="R122" s="1">
        <v>0</v>
      </c>
      <c r="S122" s="1">
        <v>0</v>
      </c>
      <c r="T122" s="1">
        <v>0</v>
      </c>
      <c r="U122" s="246"/>
      <c r="V122" s="1">
        <f t="shared" si="3"/>
        <v>400</v>
      </c>
      <c r="W122" s="1">
        <f t="shared" si="3"/>
        <v>0</v>
      </c>
      <c r="X122" s="1">
        <f t="shared" si="3"/>
        <v>400</v>
      </c>
      <c r="Z122" s="1">
        <f t="shared" si="2"/>
        <v>0</v>
      </c>
      <c r="AA122" s="1">
        <f t="shared" si="2"/>
        <v>0</v>
      </c>
      <c r="AB122" s="1">
        <f t="shared" si="2"/>
        <v>0</v>
      </c>
      <c r="AD122" s="247">
        <v>0</v>
      </c>
      <c r="AE122" s="247">
        <v>0</v>
      </c>
      <c r="AF122" s="247">
        <v>0</v>
      </c>
      <c r="AG122" s="246"/>
      <c r="AH122" s="540"/>
    </row>
    <row r="123" spans="1:34" x14ac:dyDescent="0.2">
      <c r="A123" s="8">
        <v>18020</v>
      </c>
      <c r="B123" s="8" t="s">
        <v>174</v>
      </c>
      <c r="C123" s="8" t="s">
        <v>42</v>
      </c>
      <c r="D123" s="29" t="s">
        <v>1</v>
      </c>
      <c r="E123" s="246"/>
      <c r="F123" s="1">
        <v>0</v>
      </c>
      <c r="G123" s="1">
        <v>0</v>
      </c>
      <c r="H123" s="1">
        <v>0</v>
      </c>
      <c r="I123" s="246"/>
      <c r="J123" s="1">
        <v>0</v>
      </c>
      <c r="K123" s="1">
        <v>0</v>
      </c>
      <c r="L123" s="1">
        <v>0</v>
      </c>
      <c r="M123" s="539"/>
      <c r="N123" s="1">
        <v>0</v>
      </c>
      <c r="O123" s="1">
        <v>0</v>
      </c>
      <c r="P123" s="1">
        <v>0</v>
      </c>
      <c r="Q123" s="246"/>
      <c r="R123" s="1">
        <v>0</v>
      </c>
      <c r="S123" s="1">
        <v>0</v>
      </c>
      <c r="T123" s="1">
        <v>0</v>
      </c>
      <c r="U123" s="246"/>
      <c r="V123" s="1">
        <f t="shared" si="3"/>
        <v>0</v>
      </c>
      <c r="W123" s="1">
        <f t="shared" si="3"/>
        <v>0</v>
      </c>
      <c r="X123" s="1">
        <f t="shared" si="3"/>
        <v>0</v>
      </c>
      <c r="Z123" s="1">
        <f t="shared" si="2"/>
        <v>0</v>
      </c>
      <c r="AA123" s="1">
        <f t="shared" si="2"/>
        <v>0</v>
      </c>
      <c r="AB123" s="1">
        <f t="shared" si="2"/>
        <v>0</v>
      </c>
      <c r="AD123" s="247"/>
      <c r="AE123" s="247"/>
      <c r="AF123" s="247"/>
      <c r="AG123" s="246"/>
      <c r="AH123" s="540"/>
    </row>
    <row r="124" spans="1:34" x14ac:dyDescent="0.2">
      <c r="A124" s="8">
        <v>18050</v>
      </c>
      <c r="B124" s="8" t="s">
        <v>69</v>
      </c>
      <c r="C124" s="8" t="s">
        <v>18</v>
      </c>
      <c r="D124" s="29" t="s">
        <v>3</v>
      </c>
      <c r="E124" s="246"/>
      <c r="F124" s="1">
        <v>2359.1799999999998</v>
      </c>
      <c r="G124" s="1">
        <v>2359.1799999999998</v>
      </c>
      <c r="H124" s="1">
        <v>0</v>
      </c>
      <c r="I124" s="246"/>
      <c r="J124" s="1">
        <v>0</v>
      </c>
      <c r="K124" s="1">
        <v>0</v>
      </c>
      <c r="L124" s="1">
        <v>0</v>
      </c>
      <c r="M124" s="539"/>
      <c r="N124" s="1">
        <v>0</v>
      </c>
      <c r="O124" s="1">
        <v>0</v>
      </c>
      <c r="P124" s="1">
        <v>0</v>
      </c>
      <c r="Q124" s="246"/>
      <c r="R124" s="1">
        <v>0</v>
      </c>
      <c r="S124" s="1">
        <v>0</v>
      </c>
      <c r="T124" s="1">
        <v>0</v>
      </c>
      <c r="U124" s="246"/>
      <c r="V124" s="1">
        <f t="shared" si="3"/>
        <v>2359.1799999999998</v>
      </c>
      <c r="W124" s="1">
        <f t="shared" si="3"/>
        <v>2359.1799999999998</v>
      </c>
      <c r="X124" s="1">
        <f t="shared" si="3"/>
        <v>0</v>
      </c>
      <c r="Z124" s="1">
        <f t="shared" si="2"/>
        <v>2359.1799999999998</v>
      </c>
      <c r="AA124" s="1">
        <f t="shared" si="2"/>
        <v>2359.1799999999998</v>
      </c>
      <c r="AB124" s="1">
        <f t="shared" si="2"/>
        <v>0</v>
      </c>
      <c r="AD124" s="247">
        <v>0</v>
      </c>
      <c r="AE124" s="247">
        <v>0</v>
      </c>
      <c r="AF124" s="247">
        <v>0</v>
      </c>
      <c r="AG124" s="246"/>
      <c r="AH124" s="540"/>
    </row>
    <row r="125" spans="1:34" x14ac:dyDescent="0.2">
      <c r="A125" s="8">
        <v>18100</v>
      </c>
      <c r="B125" s="8" t="s">
        <v>175</v>
      </c>
      <c r="C125" s="8" t="s">
        <v>42</v>
      </c>
      <c r="D125" s="29" t="s">
        <v>1</v>
      </c>
      <c r="E125" s="246"/>
      <c r="F125" s="1">
        <v>0</v>
      </c>
      <c r="G125" s="1">
        <v>0</v>
      </c>
      <c r="H125" s="1">
        <v>0</v>
      </c>
      <c r="I125" s="246"/>
      <c r="J125" s="1">
        <v>0</v>
      </c>
      <c r="K125" s="1">
        <v>0</v>
      </c>
      <c r="L125" s="1">
        <v>0</v>
      </c>
      <c r="M125" s="539"/>
      <c r="N125" s="1">
        <v>493.92</v>
      </c>
      <c r="O125" s="1">
        <v>0</v>
      </c>
      <c r="P125" s="1">
        <v>493.92</v>
      </c>
      <c r="Q125" s="246"/>
      <c r="R125" s="1">
        <v>0</v>
      </c>
      <c r="S125" s="1">
        <v>0</v>
      </c>
      <c r="T125" s="1">
        <v>0</v>
      </c>
      <c r="U125" s="246"/>
      <c r="V125" s="1">
        <f t="shared" si="3"/>
        <v>493.92</v>
      </c>
      <c r="W125" s="1">
        <f t="shared" si="3"/>
        <v>0</v>
      </c>
      <c r="X125" s="1">
        <f t="shared" si="3"/>
        <v>493.92</v>
      </c>
      <c r="Z125" s="1">
        <f t="shared" si="2"/>
        <v>0</v>
      </c>
      <c r="AA125" s="1">
        <f t="shared" si="2"/>
        <v>0</v>
      </c>
      <c r="AB125" s="1">
        <f t="shared" si="2"/>
        <v>0</v>
      </c>
      <c r="AD125" s="247"/>
      <c r="AE125" s="247"/>
      <c r="AF125" s="247"/>
      <c r="AG125" s="246"/>
      <c r="AH125" s="540"/>
    </row>
    <row r="126" spans="1:34" x14ac:dyDescent="0.2">
      <c r="A126" s="8">
        <v>18200</v>
      </c>
      <c r="B126" s="8" t="s">
        <v>176</v>
      </c>
      <c r="C126" s="8" t="s">
        <v>73</v>
      </c>
      <c r="D126" s="29" t="s">
        <v>1</v>
      </c>
      <c r="E126" s="246"/>
      <c r="F126" s="1">
        <v>0</v>
      </c>
      <c r="G126" s="1">
        <v>0</v>
      </c>
      <c r="H126" s="1">
        <v>0</v>
      </c>
      <c r="I126" s="246"/>
      <c r="J126" s="1">
        <v>0</v>
      </c>
      <c r="K126" s="1">
        <v>0</v>
      </c>
      <c r="L126" s="1">
        <v>0</v>
      </c>
      <c r="M126" s="539"/>
      <c r="N126" s="1">
        <v>0</v>
      </c>
      <c r="O126" s="1">
        <v>0</v>
      </c>
      <c r="P126" s="1">
        <v>0</v>
      </c>
      <c r="Q126" s="246"/>
      <c r="R126" s="1">
        <v>0</v>
      </c>
      <c r="S126" s="1">
        <v>0</v>
      </c>
      <c r="T126" s="1">
        <v>0</v>
      </c>
      <c r="U126" s="246"/>
      <c r="V126" s="1">
        <f t="shared" si="3"/>
        <v>0</v>
      </c>
      <c r="W126" s="1">
        <f t="shared" si="3"/>
        <v>0</v>
      </c>
      <c r="X126" s="1">
        <f t="shared" si="3"/>
        <v>0</v>
      </c>
      <c r="Z126" s="1">
        <f t="shared" si="2"/>
        <v>0</v>
      </c>
      <c r="AA126" s="1">
        <f t="shared" si="2"/>
        <v>0</v>
      </c>
      <c r="AB126" s="1">
        <f t="shared" si="2"/>
        <v>0</v>
      </c>
      <c r="AD126" s="247">
        <v>91</v>
      </c>
      <c r="AE126" s="247">
        <v>91</v>
      </c>
      <c r="AF126" s="247">
        <v>0</v>
      </c>
      <c r="AG126" s="246"/>
      <c r="AH126" s="540"/>
    </row>
    <row r="127" spans="1:34" x14ac:dyDescent="0.2">
      <c r="A127" s="8">
        <v>18250</v>
      </c>
      <c r="B127" s="8" t="s">
        <v>70</v>
      </c>
      <c r="C127" s="8" t="s">
        <v>26</v>
      </c>
      <c r="D127" s="29" t="s">
        <v>3</v>
      </c>
      <c r="E127" s="246"/>
      <c r="F127" s="1">
        <v>6981.92</v>
      </c>
      <c r="G127" s="1">
        <v>6981.92</v>
      </c>
      <c r="H127" s="1">
        <v>0</v>
      </c>
      <c r="I127" s="246"/>
      <c r="J127" s="1">
        <v>0</v>
      </c>
      <c r="K127" s="1">
        <v>0</v>
      </c>
      <c r="L127" s="1">
        <v>0</v>
      </c>
      <c r="M127" s="539"/>
      <c r="N127" s="1">
        <v>0</v>
      </c>
      <c r="O127" s="1">
        <v>0</v>
      </c>
      <c r="P127" s="1">
        <v>0</v>
      </c>
      <c r="Q127" s="246"/>
      <c r="R127" s="1">
        <v>0</v>
      </c>
      <c r="S127" s="1">
        <v>0</v>
      </c>
      <c r="T127" s="1">
        <v>0</v>
      </c>
      <c r="U127" s="246"/>
      <c r="V127" s="1">
        <f t="shared" si="3"/>
        <v>6981.92</v>
      </c>
      <c r="W127" s="1">
        <f t="shared" si="3"/>
        <v>6981.92</v>
      </c>
      <c r="X127" s="1">
        <f t="shared" si="3"/>
        <v>0</v>
      </c>
      <c r="Z127" s="1">
        <f t="shared" si="2"/>
        <v>6981.92</v>
      </c>
      <c r="AA127" s="1">
        <f t="shared" si="2"/>
        <v>6981.92</v>
      </c>
      <c r="AB127" s="1">
        <f t="shared" si="2"/>
        <v>0</v>
      </c>
      <c r="AD127" s="247">
        <v>68.38</v>
      </c>
      <c r="AE127" s="247">
        <v>68</v>
      </c>
      <c r="AF127" s="247">
        <v>0</v>
      </c>
      <c r="AG127" s="246"/>
      <c r="AH127" s="540"/>
    </row>
    <row r="128" spans="1:34" x14ac:dyDescent="0.2">
      <c r="A128" s="8">
        <v>18350</v>
      </c>
      <c r="B128" s="8" t="s">
        <v>71</v>
      </c>
      <c r="C128" s="8" t="s">
        <v>74</v>
      </c>
      <c r="D128" s="29" t="s">
        <v>2</v>
      </c>
      <c r="E128" s="246"/>
      <c r="F128" s="1">
        <v>6840.15</v>
      </c>
      <c r="G128" s="1">
        <v>6662.3099999999995</v>
      </c>
      <c r="H128" s="1">
        <v>177.84</v>
      </c>
      <c r="I128" s="246"/>
      <c r="J128" s="1">
        <v>0</v>
      </c>
      <c r="K128" s="1">
        <v>0</v>
      </c>
      <c r="L128" s="1">
        <v>0</v>
      </c>
      <c r="M128" s="539"/>
      <c r="N128" s="1">
        <v>4220.45</v>
      </c>
      <c r="O128" s="1">
        <v>4110.72</v>
      </c>
      <c r="P128" s="1">
        <v>109.73</v>
      </c>
      <c r="Q128" s="246"/>
      <c r="R128" s="1">
        <v>0</v>
      </c>
      <c r="S128" s="1">
        <v>0</v>
      </c>
      <c r="T128" s="1">
        <v>0</v>
      </c>
      <c r="U128" s="246"/>
      <c r="V128" s="1">
        <f t="shared" si="3"/>
        <v>11060.599999999999</v>
      </c>
      <c r="W128" s="1">
        <f t="shared" si="3"/>
        <v>10773.029999999999</v>
      </c>
      <c r="X128" s="1">
        <f t="shared" si="3"/>
        <v>287.57</v>
      </c>
      <c r="Z128" s="1">
        <f t="shared" si="2"/>
        <v>6840.15</v>
      </c>
      <c r="AA128" s="1">
        <f t="shared" si="2"/>
        <v>6662.3099999999995</v>
      </c>
      <c r="AB128" s="1">
        <f t="shared" si="2"/>
        <v>177.84</v>
      </c>
      <c r="AD128" s="247">
        <v>202.63</v>
      </c>
      <c r="AE128" s="247">
        <v>197</v>
      </c>
      <c r="AF128" s="247">
        <v>5.27</v>
      </c>
      <c r="AG128" s="246"/>
      <c r="AH128" s="540"/>
    </row>
    <row r="129" spans="1:34" x14ac:dyDescent="0.2">
      <c r="A129" s="8">
        <v>18400</v>
      </c>
      <c r="B129" s="8" t="s">
        <v>177</v>
      </c>
      <c r="C129" s="8" t="s">
        <v>193</v>
      </c>
      <c r="D129" s="29" t="s">
        <v>4</v>
      </c>
      <c r="E129" s="246"/>
      <c r="F129" s="1">
        <v>5545.6</v>
      </c>
      <c r="G129" s="1">
        <v>5545.6</v>
      </c>
      <c r="H129" s="1">
        <v>0</v>
      </c>
      <c r="I129" s="246"/>
      <c r="J129" s="1">
        <v>0</v>
      </c>
      <c r="K129" s="1">
        <v>0</v>
      </c>
      <c r="L129" s="1">
        <v>0</v>
      </c>
      <c r="M129" s="539"/>
      <c r="N129" s="1">
        <v>0</v>
      </c>
      <c r="O129" s="1">
        <v>0</v>
      </c>
      <c r="P129" s="1">
        <v>0</v>
      </c>
      <c r="Q129" s="246"/>
      <c r="R129" s="1">
        <v>0</v>
      </c>
      <c r="S129" s="1">
        <v>0</v>
      </c>
      <c r="T129" s="1">
        <v>0</v>
      </c>
      <c r="U129" s="246"/>
      <c r="V129" s="1">
        <f t="shared" si="3"/>
        <v>5545.6</v>
      </c>
      <c r="W129" s="1">
        <f t="shared" si="3"/>
        <v>5545.6</v>
      </c>
      <c r="X129" s="1">
        <f t="shared" si="3"/>
        <v>0</v>
      </c>
      <c r="Z129" s="1">
        <f t="shared" si="2"/>
        <v>5545.6</v>
      </c>
      <c r="AA129" s="1">
        <f t="shared" si="2"/>
        <v>5545.6</v>
      </c>
      <c r="AB129" s="1">
        <f t="shared" si="2"/>
        <v>0</v>
      </c>
      <c r="AD129" s="247">
        <v>0</v>
      </c>
      <c r="AE129" s="247">
        <v>0</v>
      </c>
      <c r="AF129" s="247">
        <v>0</v>
      </c>
      <c r="AG129" s="246"/>
      <c r="AH129" s="540"/>
    </row>
    <row r="130" spans="1:34" x14ac:dyDescent="0.2">
      <c r="A130" s="8">
        <v>18450</v>
      </c>
      <c r="B130" s="8" t="s">
        <v>178</v>
      </c>
      <c r="C130" s="8" t="s">
        <v>41</v>
      </c>
      <c r="D130" s="29" t="s">
        <v>2</v>
      </c>
      <c r="E130" s="246"/>
      <c r="F130" s="1">
        <v>8986</v>
      </c>
      <c r="G130" s="1">
        <v>8986</v>
      </c>
      <c r="H130" s="1">
        <v>0</v>
      </c>
      <c r="I130" s="246"/>
      <c r="J130" s="1">
        <v>21565</v>
      </c>
      <c r="K130" s="1">
        <v>21565</v>
      </c>
      <c r="L130" s="1">
        <v>0</v>
      </c>
      <c r="M130" s="539"/>
      <c r="N130" s="1">
        <v>10</v>
      </c>
      <c r="O130" s="1">
        <v>10</v>
      </c>
      <c r="P130" s="1">
        <v>0</v>
      </c>
      <c r="Q130" s="246"/>
      <c r="R130" s="1">
        <v>0</v>
      </c>
      <c r="S130" s="1">
        <v>0</v>
      </c>
      <c r="T130" s="1">
        <v>0</v>
      </c>
      <c r="U130" s="246"/>
      <c r="V130" s="1">
        <f t="shared" si="3"/>
        <v>30561</v>
      </c>
      <c r="W130" s="1">
        <f t="shared" si="3"/>
        <v>30561</v>
      </c>
      <c r="X130" s="1">
        <f t="shared" si="3"/>
        <v>0</v>
      </c>
      <c r="Z130" s="1">
        <f t="shared" si="2"/>
        <v>30551</v>
      </c>
      <c r="AA130" s="1">
        <f t="shared" si="2"/>
        <v>30551</v>
      </c>
      <c r="AB130" s="1">
        <f t="shared" si="2"/>
        <v>0</v>
      </c>
      <c r="AD130" s="247">
        <v>496.56</v>
      </c>
      <c r="AE130" s="247">
        <v>496</v>
      </c>
      <c r="AF130" s="247">
        <v>0</v>
      </c>
      <c r="AG130" s="246"/>
      <c r="AH130" s="540"/>
    </row>
    <row r="131" spans="1:34" x14ac:dyDescent="0.2">
      <c r="A131" s="8">
        <v>18500</v>
      </c>
      <c r="B131" s="8" t="s">
        <v>72</v>
      </c>
      <c r="C131" s="8" t="s">
        <v>18</v>
      </c>
      <c r="D131" s="29" t="s">
        <v>3</v>
      </c>
      <c r="E131" s="246"/>
      <c r="F131" s="1">
        <v>0</v>
      </c>
      <c r="G131" s="1">
        <v>0</v>
      </c>
      <c r="H131" s="1">
        <v>0</v>
      </c>
      <c r="I131" s="246"/>
      <c r="J131" s="1">
        <v>4092.41</v>
      </c>
      <c r="K131" s="1">
        <v>4092.41</v>
      </c>
      <c r="L131" s="1">
        <v>0</v>
      </c>
      <c r="M131" s="539"/>
      <c r="N131" s="1">
        <v>0</v>
      </c>
      <c r="O131" s="1">
        <v>0</v>
      </c>
      <c r="P131" s="1">
        <v>0</v>
      </c>
      <c r="Q131" s="246"/>
      <c r="R131" s="1">
        <v>0</v>
      </c>
      <c r="S131" s="1">
        <v>0</v>
      </c>
      <c r="T131" s="1">
        <v>0</v>
      </c>
      <c r="U131" s="246"/>
      <c r="V131" s="1">
        <f t="shared" si="3"/>
        <v>4092.41</v>
      </c>
      <c r="W131" s="1">
        <f t="shared" si="3"/>
        <v>4092.41</v>
      </c>
      <c r="X131" s="1">
        <f t="shared" si="3"/>
        <v>0</v>
      </c>
      <c r="Z131" s="1">
        <f t="shared" si="2"/>
        <v>4092.41</v>
      </c>
      <c r="AA131" s="1">
        <f t="shared" si="2"/>
        <v>4092.41</v>
      </c>
      <c r="AB131" s="1">
        <f t="shared" si="2"/>
        <v>0</v>
      </c>
      <c r="AD131" s="247">
        <v>0</v>
      </c>
      <c r="AE131" s="247">
        <v>0</v>
      </c>
      <c r="AF131" s="247">
        <v>0</v>
      </c>
      <c r="AG131" s="246"/>
      <c r="AH131" s="540"/>
    </row>
    <row r="132" spans="1:34" x14ac:dyDescent="0.2">
      <c r="A132" s="8">
        <v>18710</v>
      </c>
      <c r="B132" s="8" t="s">
        <v>179</v>
      </c>
      <c r="C132" s="8" t="s">
        <v>74</v>
      </c>
      <c r="D132" s="29" t="s">
        <v>1</v>
      </c>
      <c r="E132" s="246"/>
      <c r="F132" s="1">
        <v>0</v>
      </c>
      <c r="G132" s="1">
        <v>0</v>
      </c>
      <c r="H132" s="1">
        <v>0</v>
      </c>
      <c r="I132" s="246"/>
      <c r="J132" s="1">
        <v>0</v>
      </c>
      <c r="K132" s="1">
        <v>0</v>
      </c>
      <c r="L132" s="1">
        <v>0</v>
      </c>
      <c r="M132" s="539"/>
      <c r="N132" s="1">
        <v>800</v>
      </c>
      <c r="O132" s="1">
        <v>800</v>
      </c>
      <c r="P132" s="1">
        <v>0</v>
      </c>
      <c r="Q132" s="246"/>
      <c r="R132" s="1">
        <v>0</v>
      </c>
      <c r="S132" s="1">
        <v>0</v>
      </c>
      <c r="T132" s="1">
        <v>0</v>
      </c>
      <c r="U132" s="246"/>
      <c r="V132" s="1">
        <f t="shared" si="3"/>
        <v>800</v>
      </c>
      <c r="W132" s="1">
        <f t="shared" si="3"/>
        <v>800</v>
      </c>
      <c r="X132" s="1">
        <f t="shared" si="3"/>
        <v>0</v>
      </c>
      <c r="Z132" s="1">
        <f>F132+J132</f>
        <v>0</v>
      </c>
      <c r="AA132" s="1">
        <f>G132+K132</f>
        <v>0</v>
      </c>
      <c r="AB132" s="1">
        <f>H132+L132</f>
        <v>0</v>
      </c>
      <c r="AD132" s="247">
        <v>0</v>
      </c>
      <c r="AE132" s="247">
        <v>0</v>
      </c>
      <c r="AF132" s="247">
        <v>0</v>
      </c>
      <c r="AG132" s="246"/>
      <c r="AH132" s="540"/>
    </row>
    <row r="133" spans="1:34" s="153" customFormat="1" ht="11.25" x14ac:dyDescent="0.2">
      <c r="F133" s="248"/>
      <c r="G133" s="157"/>
      <c r="H133" s="157"/>
      <c r="J133" s="157"/>
      <c r="K133" s="157"/>
      <c r="L133" s="157"/>
      <c r="N133" s="157"/>
      <c r="O133" s="157"/>
      <c r="P133" s="157"/>
      <c r="R133" s="157"/>
      <c r="S133" s="157"/>
      <c r="T133" s="157"/>
      <c r="V133" s="2"/>
      <c r="W133" s="2"/>
      <c r="X133" s="2"/>
      <c r="Z133" s="172"/>
      <c r="AA133" s="172"/>
      <c r="AB133" s="172"/>
      <c r="AD133" s="157"/>
      <c r="AE133" s="157"/>
      <c r="AF133" s="157"/>
    </row>
    <row r="134" spans="1:34" s="153" customFormat="1" ht="11.25" x14ac:dyDescent="0.2">
      <c r="A134" s="652" t="s">
        <v>0</v>
      </c>
      <c r="B134" s="652"/>
      <c r="C134" s="652"/>
      <c r="D134" s="154"/>
      <c r="F134" s="156">
        <f>(F135/F156)-1</f>
        <v>0.17358844160708897</v>
      </c>
      <c r="G134" s="156">
        <f>(G135/F135)-1</f>
        <v>-6.8617734072162762E-3</v>
      </c>
      <c r="H134" s="157"/>
      <c r="J134" s="205"/>
      <c r="K134" s="156"/>
      <c r="L134" s="157"/>
      <c r="N134" s="155"/>
      <c r="O134" s="157"/>
      <c r="P134" s="157"/>
      <c r="R134" s="155"/>
      <c r="S134" s="157"/>
      <c r="T134" s="155"/>
      <c r="V134" s="541"/>
      <c r="W134" s="4"/>
      <c r="X134" s="168"/>
      <c r="AD134" s="157"/>
      <c r="AE134" s="157"/>
      <c r="AF134" s="157"/>
    </row>
    <row r="135" spans="1:34" s="153" customFormat="1" ht="11.25" x14ac:dyDescent="0.2">
      <c r="A135" s="628" t="s">
        <v>8</v>
      </c>
      <c r="B135" s="629"/>
      <c r="C135" s="630"/>
      <c r="D135" s="154"/>
      <c r="E135" s="252"/>
      <c r="F135" s="159">
        <f>SUM(F5:F132)</f>
        <v>441004.07000000007</v>
      </c>
      <c r="G135" s="159">
        <f>SUM(G5:G132)</f>
        <v>437977.99999999994</v>
      </c>
      <c r="H135" s="159">
        <f>SUM(H5:H132)</f>
        <v>3026.07</v>
      </c>
      <c r="I135" s="252"/>
      <c r="J135" s="159">
        <f>SUM(J5:J132)</f>
        <v>278236.53999999998</v>
      </c>
      <c r="K135" s="159">
        <f>SUM(K5:K132)</f>
        <v>273050.92</v>
      </c>
      <c r="L135" s="159">
        <f>SUM(L5:L132)</f>
        <v>5185.4399999999996</v>
      </c>
      <c r="M135" s="252"/>
      <c r="N135" s="159">
        <f>SUM(N5:N132)</f>
        <v>121934.13</v>
      </c>
      <c r="O135" s="159">
        <f>SUM(O5:O132)</f>
        <v>113772.36</v>
      </c>
      <c r="P135" s="159">
        <f>SUM(P5:P132)</f>
        <v>8161.7699999999995</v>
      </c>
      <c r="Q135" s="252"/>
      <c r="R135" s="159">
        <f>SUM(R5:R132)</f>
        <v>22046.79</v>
      </c>
      <c r="S135" s="159">
        <f>SUM(S5:S132)</f>
        <v>22025.79</v>
      </c>
      <c r="T135" s="159">
        <f>SUM(T5:T132)</f>
        <v>21</v>
      </c>
      <c r="U135" s="252"/>
      <c r="V135" s="491">
        <f>SUM(V5:V132)</f>
        <v>863221.53000000014</v>
      </c>
      <c r="W135" s="491">
        <f>SUM(W5:W132)</f>
        <v>846827.0700000003</v>
      </c>
      <c r="X135" s="491">
        <f>SUM(X5:X132)</f>
        <v>16394.28</v>
      </c>
      <c r="Y135" s="168"/>
      <c r="Z135" s="172">
        <f>F135+J135</f>
        <v>719240.6100000001</v>
      </c>
      <c r="AA135" s="172">
        <f>G135+K135</f>
        <v>711028.91999999993</v>
      </c>
      <c r="AB135" s="172">
        <f>H135+L135</f>
        <v>8211.51</v>
      </c>
      <c r="AC135" s="172"/>
      <c r="AD135" s="159">
        <f>SUM(AD5:AD132)</f>
        <v>23922.080000000002</v>
      </c>
      <c r="AE135" s="159">
        <f>SUM(AE5:AE132)</f>
        <v>21327</v>
      </c>
      <c r="AF135" s="159">
        <f>SUM(AF5:AF132)</f>
        <v>2583.54</v>
      </c>
      <c r="AG135" s="252"/>
    </row>
    <row r="136" spans="1:34" s="153" customFormat="1" ht="11.25" x14ac:dyDescent="0.2">
      <c r="B136" s="153" t="s">
        <v>181</v>
      </c>
      <c r="D136" s="154"/>
      <c r="F136" s="157"/>
      <c r="G136" s="157"/>
      <c r="H136" s="156"/>
      <c r="J136" s="157"/>
      <c r="K136" s="157"/>
      <c r="L136" s="157"/>
      <c r="N136" s="157"/>
      <c r="O136" s="157"/>
      <c r="P136" s="157"/>
      <c r="R136" s="157"/>
      <c r="S136" s="157"/>
      <c r="T136" s="157"/>
      <c r="V136" s="125"/>
      <c r="W136" s="125"/>
      <c r="X136" s="125"/>
      <c r="AD136" s="157"/>
      <c r="AE136" s="157"/>
      <c r="AF136" s="157"/>
    </row>
    <row r="137" spans="1:34" s="153" customFormat="1" ht="11.25" x14ac:dyDescent="0.2">
      <c r="A137" s="624" t="s">
        <v>9</v>
      </c>
      <c r="B137" s="624"/>
      <c r="C137" s="624"/>
      <c r="D137" s="166"/>
      <c r="F137" s="166">
        <f>SUMIF($D$5:$D$132,"S",F$5:F$132)</f>
        <v>289188.90000000002</v>
      </c>
      <c r="G137" s="166">
        <f>SUMIF($D$5:$D$132,"S",G$5:G$132)</f>
        <v>287032.44</v>
      </c>
      <c r="H137" s="166">
        <f>SUMIF($D$5:$D$132,"S",H$5:H$132)</f>
        <v>2156.46</v>
      </c>
      <c r="J137" s="166">
        <f>SUMIF($D$5:$D$132,"S",J$5:J$132)</f>
        <v>48583.53</v>
      </c>
      <c r="K137" s="166">
        <f>SUMIF($D$5:$D$132,"S",K$5:K$132)</f>
        <v>47274</v>
      </c>
      <c r="L137" s="166">
        <f>SUMIF($D$5:$D$132,"S",L$5:L$132)</f>
        <v>1309.53</v>
      </c>
      <c r="N137" s="166">
        <f>SUMIF($D$5:$D$132,"S",N$5:N$132)</f>
        <v>1435.58</v>
      </c>
      <c r="O137" s="166">
        <f>SUMIF($D$5:$D$132,"S",O$5:O$132)</f>
        <v>1435.58</v>
      </c>
      <c r="P137" s="166">
        <f>SUMIF($D$5:$D$132,"S",P$5:P$132)</f>
        <v>0</v>
      </c>
      <c r="R137" s="166">
        <f>SUMIF($D$5:$D$132,"S",R$5:R$132)</f>
        <v>7785.4700000000012</v>
      </c>
      <c r="S137" s="166">
        <f>SUMIF($D$5:$D$132,"S",S$5:S$132)</f>
        <v>7784.4700000000012</v>
      </c>
      <c r="T137" s="166">
        <f>SUMIF($D$5:$D$132,"S",T$5:T$132)</f>
        <v>1</v>
      </c>
      <c r="V137" s="166">
        <f>SUMIF($D$5:$D$132,"S",V$5:V$132)</f>
        <v>346993.47999999992</v>
      </c>
      <c r="W137" s="166">
        <f>SUMIF($D$5:$D$132,"S",W$5:W$132)</f>
        <v>343526.48999999993</v>
      </c>
      <c r="X137" s="166">
        <f>SUMIF($D$5:$D$132,"S",X$5:X$132)</f>
        <v>3466.99</v>
      </c>
      <c r="Y137" s="542"/>
      <c r="Z137" s="172">
        <f t="shared" ref="Z137:AB140" si="4">F137+J137</f>
        <v>337772.43000000005</v>
      </c>
      <c r="AA137" s="172">
        <f t="shared" si="4"/>
        <v>334306.44</v>
      </c>
      <c r="AB137" s="172">
        <f t="shared" si="4"/>
        <v>3465.99</v>
      </c>
      <c r="AC137" s="163"/>
      <c r="AD137" s="166">
        <f>SUMIF($D$5:$D$132,"S",AD$5:AD$132)</f>
        <v>12282.07</v>
      </c>
      <c r="AE137" s="166">
        <f>SUMIF($D$5:$D$132,"S",AE$5:AE$132)</f>
        <v>11594</v>
      </c>
      <c r="AF137" s="166">
        <f>SUMIF($D$5:$D$132,"S",AF$5:AF$132)</f>
        <v>683.97</v>
      </c>
    </row>
    <row r="138" spans="1:34" s="153" customFormat="1" ht="11.25" x14ac:dyDescent="0.2">
      <c r="A138" s="624" t="s">
        <v>10</v>
      </c>
      <c r="B138" s="624"/>
      <c r="C138" s="624"/>
      <c r="D138" s="254"/>
      <c r="F138" s="166">
        <f>SUMIF($D$5:$D$132,"E",F$5:F$132)</f>
        <v>98361.659999999989</v>
      </c>
      <c r="G138" s="166">
        <f>SUMIF($D$5:$D$132,"E",G$5:G$132)</f>
        <v>97904.739999999991</v>
      </c>
      <c r="H138" s="166">
        <f>SUMIF($D$5:$D$132,"E",H$5:H$132)</f>
        <v>456.91999999999996</v>
      </c>
      <c r="J138" s="166">
        <f>SUMIF($D$5:$D$132,"E",J$5:J$132)</f>
        <v>80425.91</v>
      </c>
      <c r="K138" s="166">
        <f>SUMIF($D$5:$D$132,"E",K$5:K$132)</f>
        <v>79386.320000000007</v>
      </c>
      <c r="L138" s="166">
        <f>SUMIF($D$5:$D$132,"E",L$5:L$132)</f>
        <v>1039.5900000000001</v>
      </c>
      <c r="N138" s="166">
        <f>SUMIF($D$5:$D$132,"E",N$5:N$132)</f>
        <v>22925.850000000002</v>
      </c>
      <c r="O138" s="166">
        <f>SUMIF($D$5:$D$132,"E",O$5:O$132)</f>
        <v>22816.120000000003</v>
      </c>
      <c r="P138" s="166">
        <f>SUMIF($D$5:$D$132,"E",P$5:P$132)</f>
        <v>109.73</v>
      </c>
      <c r="R138" s="166">
        <f>SUMIF($D$5:$D$132,"E",R$5:R$132)</f>
        <v>13802.96</v>
      </c>
      <c r="S138" s="166">
        <f>SUMIF($D$5:$D$132,"E",S$5:S$132)</f>
        <v>13802.96</v>
      </c>
      <c r="T138" s="166">
        <f>SUMIF($D$5:$D$132,"E",T$5:T$132)</f>
        <v>0</v>
      </c>
      <c r="V138" s="166">
        <f>SUMIF($D$5:$D$132,"E",V$5:V$132)</f>
        <v>215516.38</v>
      </c>
      <c r="W138" s="166">
        <f>SUMIF($D$5:$D$132,"E",W$5:W$132)</f>
        <v>213910.14</v>
      </c>
      <c r="X138" s="166">
        <f>SUMIF($D$5:$D$132,"E",X$5:X$132)</f>
        <v>1606.24</v>
      </c>
      <c r="Y138" s="542"/>
      <c r="Z138" s="172">
        <f t="shared" si="4"/>
        <v>178787.57</v>
      </c>
      <c r="AA138" s="172">
        <f t="shared" si="4"/>
        <v>177291.06</v>
      </c>
      <c r="AB138" s="172">
        <f t="shared" si="4"/>
        <v>1496.5100000000002</v>
      </c>
      <c r="AD138" s="166">
        <f>SUMIF($D$5:$D$132,"E",AD$5:AD$132)</f>
        <v>2161.34</v>
      </c>
      <c r="AE138" s="166">
        <f>SUMIF($D$5:$D$132,"E",AE$5:AE$132)</f>
        <v>2154</v>
      </c>
      <c r="AF138" s="166">
        <f>SUMIF($D$5:$D$132,"E",AF$5:AF$132)</f>
        <v>5.27</v>
      </c>
    </row>
    <row r="139" spans="1:34" s="153" customFormat="1" ht="11.25" x14ac:dyDescent="0.2">
      <c r="A139" s="624" t="s">
        <v>11</v>
      </c>
      <c r="B139" s="624"/>
      <c r="C139" s="624"/>
      <c r="D139" s="254"/>
      <c r="F139" s="166">
        <f>SUMIF($D$5:$D$132,"R",F$5:F$132)</f>
        <v>32586.61</v>
      </c>
      <c r="G139" s="166">
        <f>SUMIF($D$5:$D$132,"R",G$5:G$132)</f>
        <v>32295.64</v>
      </c>
      <c r="H139" s="166">
        <f>SUMIF($D$5:$D$132,"R",H$5:H$132)</f>
        <v>290.97000000000003</v>
      </c>
      <c r="J139" s="166">
        <f>SUMIF($D$5:$D$132,"R",J$5:J$132)</f>
        <v>78844.73000000001</v>
      </c>
      <c r="K139" s="166">
        <f>SUMIF($D$5:$D$132,"R",K$5:K$132)</f>
        <v>77927.41</v>
      </c>
      <c r="L139" s="166">
        <f>SUMIF($D$5:$D$132,"R",L$5:L$132)</f>
        <v>917.31999999999994</v>
      </c>
      <c r="N139" s="166">
        <f>SUMIF($D$5:$D$132,"R",N$5:N$132)</f>
        <v>23314.979999999996</v>
      </c>
      <c r="O139" s="166">
        <f>SUMIF($D$5:$D$132,"R",O$5:O$132)</f>
        <v>23309.979999999996</v>
      </c>
      <c r="P139" s="166">
        <f>SUMIF($D$5:$D$132,"R",P$5:P$132)</f>
        <v>5</v>
      </c>
      <c r="R139" s="166">
        <f>SUMIF($D$5:$D$132,"R",R$5:R$132)</f>
        <v>249.62</v>
      </c>
      <c r="S139" s="166">
        <f>SUMIF($D$5:$D$132,"R",S$5:S$132)</f>
        <v>249.62</v>
      </c>
      <c r="T139" s="166">
        <f>SUMIF($D$5:$D$132,"R",T$5:T$132)</f>
        <v>0</v>
      </c>
      <c r="V139" s="166">
        <f>SUMIF($D$5:$D$132,"R",V$5:V$132)</f>
        <v>134995.94</v>
      </c>
      <c r="W139" s="166">
        <f>SUMIF($D$5:$D$132,"R",W$5:W$132)</f>
        <v>133782.65</v>
      </c>
      <c r="X139" s="166">
        <f>SUMIF($D$5:$D$132,"R",X$5:X$132)</f>
        <v>1213.29</v>
      </c>
      <c r="Y139" s="542"/>
      <c r="Z139" s="172">
        <f t="shared" si="4"/>
        <v>111431.34000000001</v>
      </c>
      <c r="AA139" s="172">
        <f t="shared" si="4"/>
        <v>110223.05</v>
      </c>
      <c r="AB139" s="172">
        <f t="shared" si="4"/>
        <v>1208.29</v>
      </c>
      <c r="AD139" s="166">
        <f>SUMIF($D$5:$D$132,"R",AD$5:AD$132)</f>
        <v>1510.5099999999998</v>
      </c>
      <c r="AE139" s="166">
        <f>SUMIF($D$5:$D$132,"R",AE$5:AE$132)</f>
        <v>1508</v>
      </c>
      <c r="AF139" s="166">
        <f>SUMIF($D$5:$D$132,"R",AF$5:AF$132)</f>
        <v>0</v>
      </c>
    </row>
    <row r="140" spans="1:34" s="153" customFormat="1" ht="11.25" x14ac:dyDescent="0.2">
      <c r="A140" s="624" t="s">
        <v>12</v>
      </c>
      <c r="B140" s="624"/>
      <c r="C140" s="624"/>
      <c r="D140" s="254"/>
      <c r="F140" s="166">
        <f>SUMIF($D$5:$D$132,"N",F$5:F$132)</f>
        <v>20866.900000000001</v>
      </c>
      <c r="G140" s="166">
        <f>SUMIF($D$5:$D$132,"N",G$5:G$132)</f>
        <v>20745.18</v>
      </c>
      <c r="H140" s="166">
        <f>SUMIF($D$5:$D$132,"N",H$5:H$132)</f>
        <v>121.72</v>
      </c>
      <c r="J140" s="166">
        <f>SUMIF($D$5:$D$132,"N",J$5:J$132)</f>
        <v>70382.37</v>
      </c>
      <c r="K140" s="166">
        <f>SUMIF($D$5:$D$132,"N",K$5:K$132)</f>
        <v>68463.19</v>
      </c>
      <c r="L140" s="166">
        <f>SUMIF($D$5:$D$132,"N",L$5:L$132)</f>
        <v>1919</v>
      </c>
      <c r="N140" s="166">
        <f>SUMIF($D$5:$D$132,"N",N$5:N$132)</f>
        <v>74257.72</v>
      </c>
      <c r="O140" s="166">
        <f>SUMIF($D$5:$D$132,"N",O$5:O$132)</f>
        <v>66210.680000000008</v>
      </c>
      <c r="P140" s="166">
        <f>SUMIF($D$5:$D$132,"N",P$5:P$132)</f>
        <v>8047.04</v>
      </c>
      <c r="R140" s="166">
        <f>SUMIF($D$5:$D$132,"N",R$5:R$132)</f>
        <v>208.74</v>
      </c>
      <c r="S140" s="166">
        <f>SUMIF($D$5:$D$132,"N",S$5:S$132)</f>
        <v>188.74</v>
      </c>
      <c r="T140" s="166">
        <f>SUMIF($D$5:$D$132,"N",T$5:T$132)</f>
        <v>20</v>
      </c>
      <c r="V140" s="166">
        <f>SUMIF($D$5:$D$132,"N",V$5:V$132)</f>
        <v>165715.73000000001</v>
      </c>
      <c r="W140" s="166">
        <f>SUMIF($D$5:$D$132,"N",W$5:W$132)</f>
        <v>155607.78999999998</v>
      </c>
      <c r="X140" s="166">
        <f>SUMIF($D$5:$D$132,"N",X$5:X$132)</f>
        <v>10107.759999999998</v>
      </c>
      <c r="Y140" s="542"/>
      <c r="Z140" s="172">
        <f t="shared" si="4"/>
        <v>91249.26999999999</v>
      </c>
      <c r="AA140" s="172">
        <f t="shared" si="4"/>
        <v>89208.37</v>
      </c>
      <c r="AB140" s="172">
        <f t="shared" si="4"/>
        <v>2040.72</v>
      </c>
      <c r="AD140" s="166">
        <f>SUMIF($D$5:$D$132,"N",AD$5:AD$132)</f>
        <v>7968.1600000000008</v>
      </c>
      <c r="AE140" s="166">
        <f>SUMIF($D$5:$D$132,"N",AE$5:AE$132)</f>
        <v>6071</v>
      </c>
      <c r="AF140" s="166">
        <f>SUMIF($D$5:$D$132,"N",AF$5:AF$132)</f>
        <v>1894.3</v>
      </c>
    </row>
    <row r="141" spans="1:34" s="153" customFormat="1" ht="11.25" x14ac:dyDescent="0.2">
      <c r="A141" s="112"/>
      <c r="B141" s="112"/>
      <c r="C141" s="112"/>
      <c r="D141" s="254"/>
      <c r="F141" s="170"/>
      <c r="G141" s="170"/>
      <c r="H141" s="170"/>
      <c r="J141" s="170"/>
      <c r="K141" s="170"/>
      <c r="L141" s="170"/>
      <c r="N141" s="170"/>
      <c r="O141" s="170"/>
      <c r="P141" s="170"/>
      <c r="R141" s="170"/>
      <c r="S141" s="170"/>
      <c r="T141" s="170"/>
      <c r="V141" s="170"/>
      <c r="W141" s="170"/>
      <c r="X141" s="170"/>
      <c r="Y141" s="542"/>
      <c r="Z141" s="172"/>
      <c r="AA141" s="172"/>
      <c r="AB141" s="172"/>
      <c r="AD141" s="170"/>
      <c r="AE141" s="170"/>
      <c r="AF141" s="170"/>
    </row>
    <row r="142" spans="1:34" s="153" customFormat="1" ht="11.25" x14ac:dyDescent="0.2">
      <c r="A142" s="628" t="s">
        <v>8</v>
      </c>
      <c r="B142" s="629"/>
      <c r="C142" s="630"/>
      <c r="D142" s="154"/>
      <c r="E142" s="252"/>
      <c r="F142" s="159">
        <v>405717.14000000007</v>
      </c>
      <c r="G142" s="159">
        <v>400334.32000000007</v>
      </c>
      <c r="H142" s="159">
        <v>4076.0099999999998</v>
      </c>
      <c r="I142" s="252"/>
      <c r="J142" s="159">
        <v>215898.71999999997</v>
      </c>
      <c r="K142" s="159">
        <v>208100.59999999995</v>
      </c>
      <c r="L142" s="159">
        <v>7798.1200000000008</v>
      </c>
      <c r="M142" s="252"/>
      <c r="N142" s="159">
        <v>125873.34000000004</v>
      </c>
      <c r="O142" s="159">
        <v>120369.53000000001</v>
      </c>
      <c r="P142" s="159">
        <v>5503.81</v>
      </c>
      <c r="Q142" s="252"/>
      <c r="R142" s="159">
        <v>17694.919999999998</v>
      </c>
      <c r="S142" s="159">
        <v>17685.57</v>
      </c>
      <c r="T142" s="159">
        <v>9.35</v>
      </c>
      <c r="U142" s="252"/>
      <c r="V142" s="491">
        <v>765184.12000000011</v>
      </c>
      <c r="W142" s="491">
        <v>746490.01999999979</v>
      </c>
      <c r="X142" s="491">
        <v>17387.29</v>
      </c>
      <c r="Y142" s="168"/>
      <c r="Z142" s="172">
        <v>621615.8600000001</v>
      </c>
      <c r="AA142" s="172">
        <v>608434.92000000004</v>
      </c>
      <c r="AB142" s="172">
        <v>11874.130000000001</v>
      </c>
      <c r="AC142" s="172"/>
      <c r="AD142" s="159">
        <v>48204.859999999993</v>
      </c>
      <c r="AE142" s="159">
        <v>40455.319999999992</v>
      </c>
      <c r="AF142" s="159">
        <v>7749.54</v>
      </c>
      <c r="AG142" s="252"/>
    </row>
    <row r="143" spans="1:34" s="153" customFormat="1" ht="11.25" x14ac:dyDescent="0.2">
      <c r="B143" s="153" t="s">
        <v>569</v>
      </c>
      <c r="D143" s="154"/>
      <c r="F143" s="157"/>
      <c r="G143" s="157"/>
      <c r="H143" s="156"/>
      <c r="J143" s="157"/>
      <c r="K143" s="157"/>
      <c r="L143" s="157"/>
      <c r="N143" s="157"/>
      <c r="O143" s="157"/>
      <c r="P143" s="157"/>
      <c r="R143" s="157"/>
      <c r="S143" s="157"/>
      <c r="T143" s="157"/>
      <c r="V143" s="125"/>
      <c r="W143" s="125"/>
      <c r="X143" s="125"/>
      <c r="AD143" s="157"/>
      <c r="AE143" s="157"/>
      <c r="AF143" s="157"/>
    </row>
    <row r="144" spans="1:34" s="153" customFormat="1" ht="11.25" x14ac:dyDescent="0.2">
      <c r="A144" s="624" t="s">
        <v>9</v>
      </c>
      <c r="B144" s="624"/>
      <c r="C144" s="624"/>
      <c r="D144" s="166"/>
      <c r="F144" s="166">
        <v>267584.75</v>
      </c>
      <c r="G144" s="166">
        <v>264681.55</v>
      </c>
      <c r="H144" s="166">
        <v>2903.2</v>
      </c>
      <c r="J144" s="166">
        <v>38495.700000000004</v>
      </c>
      <c r="K144" s="166">
        <v>37427.160000000003</v>
      </c>
      <c r="L144" s="166">
        <v>1068.54</v>
      </c>
      <c r="N144" s="166">
        <v>8621.7900000000009</v>
      </c>
      <c r="O144" s="166">
        <v>8621.7900000000009</v>
      </c>
      <c r="P144" s="166">
        <v>0</v>
      </c>
      <c r="R144" s="166">
        <v>6951.41</v>
      </c>
      <c r="S144" s="166">
        <v>6948.0599999999995</v>
      </c>
      <c r="T144" s="166">
        <v>3.35</v>
      </c>
      <c r="V144" s="166">
        <v>321653.65000000002</v>
      </c>
      <c r="W144" s="166">
        <v>317678.55999999994</v>
      </c>
      <c r="X144" s="166">
        <v>3975.0899999999997</v>
      </c>
      <c r="Y144" s="542"/>
      <c r="Z144" s="172">
        <v>306080.45</v>
      </c>
      <c r="AA144" s="172">
        <v>302108.70999999996</v>
      </c>
      <c r="AB144" s="172">
        <v>3971.74</v>
      </c>
      <c r="AC144" s="163"/>
      <c r="AD144" s="166">
        <v>21640.39</v>
      </c>
      <c r="AE144" s="166">
        <v>15151.690000000002</v>
      </c>
      <c r="AF144" s="166">
        <v>6488.7</v>
      </c>
    </row>
    <row r="145" spans="1:33" s="153" customFormat="1" ht="11.25" x14ac:dyDescent="0.2">
      <c r="A145" s="624" t="s">
        <v>10</v>
      </c>
      <c r="B145" s="624"/>
      <c r="C145" s="624"/>
      <c r="D145" s="254"/>
      <c r="F145" s="166">
        <v>95741.9</v>
      </c>
      <c r="G145" s="166">
        <v>95249.959999999992</v>
      </c>
      <c r="H145" s="166">
        <v>491.94000000000005</v>
      </c>
      <c r="J145" s="166">
        <v>51550.8</v>
      </c>
      <c r="K145" s="166">
        <v>50845.95</v>
      </c>
      <c r="L145" s="166">
        <v>704.85</v>
      </c>
      <c r="N145" s="166">
        <v>26500.97</v>
      </c>
      <c r="O145" s="166">
        <v>26394.97</v>
      </c>
      <c r="P145" s="166">
        <v>106</v>
      </c>
      <c r="R145" s="166">
        <v>8427.630000000001</v>
      </c>
      <c r="S145" s="166">
        <v>8427.630000000001</v>
      </c>
      <c r="T145" s="166">
        <v>0</v>
      </c>
      <c r="V145" s="166">
        <v>182221.30000000002</v>
      </c>
      <c r="W145" s="166">
        <v>180918.51</v>
      </c>
      <c r="X145" s="166">
        <v>1302.79</v>
      </c>
      <c r="Y145" s="542"/>
      <c r="Z145" s="172">
        <v>147292.70000000001</v>
      </c>
      <c r="AA145" s="172">
        <v>146095.90999999997</v>
      </c>
      <c r="AB145" s="172">
        <v>1196.79</v>
      </c>
      <c r="AD145" s="166">
        <v>18434.019999999997</v>
      </c>
      <c r="AE145" s="166">
        <v>18422.019999999997</v>
      </c>
      <c r="AF145" s="166">
        <v>12</v>
      </c>
    </row>
    <row r="146" spans="1:33" s="153" customFormat="1" ht="11.25" x14ac:dyDescent="0.2">
      <c r="A146" s="624" t="s">
        <v>11</v>
      </c>
      <c r="B146" s="624"/>
      <c r="C146" s="624"/>
      <c r="D146" s="254"/>
      <c r="F146" s="166">
        <v>25563.200000000001</v>
      </c>
      <c r="G146" s="166">
        <v>24003.980000000003</v>
      </c>
      <c r="H146" s="166">
        <v>252.41000000000003</v>
      </c>
      <c r="J146" s="166">
        <v>72608.160000000003</v>
      </c>
      <c r="K146" s="166">
        <v>67332.299999999988</v>
      </c>
      <c r="L146" s="166">
        <v>5275.8600000000006</v>
      </c>
      <c r="N146" s="166">
        <v>32898.509999999995</v>
      </c>
      <c r="O146" s="166">
        <v>32894.249999999993</v>
      </c>
      <c r="P146" s="166">
        <v>4.26</v>
      </c>
      <c r="R146" s="166">
        <v>2251.5199999999995</v>
      </c>
      <c r="S146" s="166">
        <v>2251.5199999999995</v>
      </c>
      <c r="T146" s="166">
        <v>0</v>
      </c>
      <c r="V146" s="166">
        <v>133321.39000000001</v>
      </c>
      <c r="W146" s="166">
        <v>126482.05</v>
      </c>
      <c r="X146" s="166">
        <v>5532.53</v>
      </c>
      <c r="Y146" s="542"/>
      <c r="Z146" s="172">
        <v>98171.36</v>
      </c>
      <c r="AA146" s="172">
        <v>91336.28</v>
      </c>
      <c r="AB146" s="172">
        <v>5528.27</v>
      </c>
      <c r="AD146" s="166">
        <v>1998.4699999999998</v>
      </c>
      <c r="AE146" s="166">
        <v>1998.4699999999998</v>
      </c>
      <c r="AF146" s="166">
        <v>0</v>
      </c>
    </row>
    <row r="147" spans="1:33" s="153" customFormat="1" ht="11.25" x14ac:dyDescent="0.2">
      <c r="A147" s="624" t="s">
        <v>12</v>
      </c>
      <c r="B147" s="624"/>
      <c r="C147" s="624"/>
      <c r="D147" s="254"/>
      <c r="F147" s="166">
        <v>16827.29</v>
      </c>
      <c r="G147" s="166">
        <v>16398.830000000002</v>
      </c>
      <c r="H147" s="166">
        <v>428.46</v>
      </c>
      <c r="J147" s="166">
        <v>53244.060000000005</v>
      </c>
      <c r="K147" s="166">
        <v>52495.19</v>
      </c>
      <c r="L147" s="166">
        <v>748.87</v>
      </c>
      <c r="N147" s="166">
        <v>57852.07</v>
      </c>
      <c r="O147" s="166">
        <v>52458.520000000004</v>
      </c>
      <c r="P147" s="166">
        <v>5393.55</v>
      </c>
      <c r="R147" s="166">
        <v>64.36</v>
      </c>
      <c r="S147" s="166">
        <v>58.36</v>
      </c>
      <c r="T147" s="166">
        <v>6</v>
      </c>
      <c r="V147" s="166">
        <v>127987.78000000003</v>
      </c>
      <c r="W147" s="166">
        <v>121410.90000000001</v>
      </c>
      <c r="X147" s="166">
        <v>6576.88</v>
      </c>
      <c r="Y147" s="542"/>
      <c r="Z147" s="172">
        <v>70071.350000000006</v>
      </c>
      <c r="AA147" s="172">
        <v>68894.02</v>
      </c>
      <c r="AB147" s="172">
        <v>1177.33</v>
      </c>
      <c r="AD147" s="166">
        <v>6131.98</v>
      </c>
      <c r="AE147" s="166">
        <v>4883.1400000000003</v>
      </c>
      <c r="AF147" s="166">
        <v>1248.8400000000001</v>
      </c>
    </row>
    <row r="148" spans="1:33" s="153" customFormat="1" ht="11.25" x14ac:dyDescent="0.2">
      <c r="A148" s="112"/>
      <c r="B148" s="112"/>
      <c r="C148" s="112"/>
      <c r="D148" s="254"/>
      <c r="F148" s="170"/>
      <c r="G148" s="170"/>
      <c r="H148" s="170"/>
      <c r="J148" s="170"/>
      <c r="K148" s="170"/>
      <c r="L148" s="170"/>
      <c r="N148" s="170"/>
      <c r="O148" s="170"/>
      <c r="P148" s="170"/>
      <c r="R148" s="170"/>
      <c r="S148" s="170"/>
      <c r="T148" s="170"/>
      <c r="V148" s="170"/>
      <c r="W148" s="170"/>
      <c r="X148" s="170"/>
      <c r="Y148" s="542"/>
      <c r="Z148" s="172"/>
      <c r="AA148" s="172"/>
      <c r="AB148" s="172"/>
      <c r="AD148" s="170"/>
      <c r="AE148" s="170"/>
      <c r="AF148" s="170"/>
    </row>
    <row r="149" spans="1:33" s="153" customFormat="1" ht="11.25" x14ac:dyDescent="0.2">
      <c r="A149" s="628" t="s">
        <v>8</v>
      </c>
      <c r="B149" s="629"/>
      <c r="C149" s="630"/>
      <c r="D149" s="154"/>
      <c r="E149" s="252"/>
      <c r="F149" s="159">
        <v>396536.10999999993</v>
      </c>
      <c r="G149" s="159">
        <v>389550.86999999994</v>
      </c>
      <c r="H149" s="159">
        <v>6985.2399999999989</v>
      </c>
      <c r="I149" s="252"/>
      <c r="J149" s="159">
        <v>213126.13999999998</v>
      </c>
      <c r="K149" s="159">
        <v>208473.66999999998</v>
      </c>
      <c r="L149" s="159">
        <v>4652.47</v>
      </c>
      <c r="M149" s="252"/>
      <c r="N149" s="159">
        <v>123789.31</v>
      </c>
      <c r="O149" s="159">
        <v>121313.04000000001</v>
      </c>
      <c r="P149" s="159">
        <v>2476.27</v>
      </c>
      <c r="Q149" s="252"/>
      <c r="R149" s="159">
        <v>16996.29</v>
      </c>
      <c r="S149" s="159">
        <v>13773.990000000002</v>
      </c>
      <c r="T149" s="159">
        <v>3222.3</v>
      </c>
      <c r="U149" s="252"/>
      <c r="V149" s="491">
        <f>F149+J149+N149+R149</f>
        <v>750447.84999999986</v>
      </c>
      <c r="W149" s="491">
        <f>G149+K149+O149+S149</f>
        <v>733111.57</v>
      </c>
      <c r="X149" s="491">
        <f>H149+L149+P149+T149</f>
        <v>17336.28</v>
      </c>
      <c r="Y149" s="168"/>
      <c r="Z149" s="172">
        <v>609662.24999999988</v>
      </c>
      <c r="AA149" s="172">
        <v>598024.53999999992</v>
      </c>
      <c r="AB149" s="172">
        <v>11637.71</v>
      </c>
      <c r="AC149" s="172"/>
      <c r="AD149" s="159">
        <v>28429.9</v>
      </c>
      <c r="AE149" s="159">
        <v>26450</v>
      </c>
      <c r="AF149" s="159">
        <v>1974.6399999999999</v>
      </c>
      <c r="AG149" s="252"/>
    </row>
    <row r="150" spans="1:33" s="153" customFormat="1" ht="11.25" x14ac:dyDescent="0.2">
      <c r="B150" s="153" t="s">
        <v>570</v>
      </c>
      <c r="D150" s="154"/>
      <c r="F150" s="157"/>
      <c r="G150" s="157"/>
      <c r="H150" s="156"/>
      <c r="J150" s="157"/>
      <c r="K150" s="157"/>
      <c r="L150" s="157"/>
      <c r="N150" s="157"/>
      <c r="O150" s="157"/>
      <c r="P150" s="157"/>
      <c r="R150" s="157"/>
      <c r="S150" s="157"/>
      <c r="T150" s="157"/>
      <c r="V150" s="125"/>
      <c r="W150" s="125"/>
      <c r="X150" s="125"/>
      <c r="AD150" s="157"/>
      <c r="AE150" s="157"/>
      <c r="AF150" s="157"/>
    </row>
    <row r="151" spans="1:33" s="153" customFormat="1" ht="11.25" x14ac:dyDescent="0.2">
      <c r="A151" s="624" t="s">
        <v>9</v>
      </c>
      <c r="B151" s="624"/>
      <c r="C151" s="624"/>
      <c r="D151" s="166"/>
      <c r="F151" s="166">
        <v>258081.91</v>
      </c>
      <c r="G151" s="166">
        <v>253885.09</v>
      </c>
      <c r="H151" s="166">
        <v>4196.82</v>
      </c>
      <c r="J151" s="166">
        <v>35037.4</v>
      </c>
      <c r="K151" s="166">
        <v>33587.4</v>
      </c>
      <c r="L151" s="166">
        <v>1450</v>
      </c>
      <c r="N151" s="166">
        <v>32514</v>
      </c>
      <c r="O151" s="166">
        <v>32506</v>
      </c>
      <c r="P151" s="166">
        <v>8</v>
      </c>
      <c r="R151" s="166">
        <v>4613.5</v>
      </c>
      <c r="S151" s="166">
        <v>4341.2</v>
      </c>
      <c r="T151" s="166">
        <v>272.3</v>
      </c>
      <c r="V151" s="166">
        <f t="shared" ref="V151:X154" si="5">F151+J151+N151+R151</f>
        <v>330246.81</v>
      </c>
      <c r="W151" s="166">
        <f t="shared" si="5"/>
        <v>324319.69</v>
      </c>
      <c r="X151" s="166">
        <f t="shared" si="5"/>
        <v>5927.12</v>
      </c>
      <c r="Y151" s="542"/>
      <c r="Z151" s="172">
        <v>293119.31</v>
      </c>
      <c r="AA151" s="172">
        <v>287472.49</v>
      </c>
      <c r="AB151" s="172">
        <v>5646.82</v>
      </c>
      <c r="AC151" s="163"/>
      <c r="AD151" s="166">
        <v>2295.4800000000005</v>
      </c>
      <c r="AE151" s="166">
        <v>1394</v>
      </c>
      <c r="AF151" s="166">
        <v>900.86</v>
      </c>
    </row>
    <row r="152" spans="1:33" s="153" customFormat="1" ht="11.25" x14ac:dyDescent="0.2">
      <c r="A152" s="624" t="s">
        <v>10</v>
      </c>
      <c r="B152" s="624"/>
      <c r="C152" s="624"/>
      <c r="D152" s="254"/>
      <c r="F152" s="166">
        <v>97512.06</v>
      </c>
      <c r="G152" s="166">
        <v>96651.14</v>
      </c>
      <c r="H152" s="166">
        <v>860.92</v>
      </c>
      <c r="J152" s="166">
        <v>51506.3</v>
      </c>
      <c r="K152" s="166">
        <v>50958.1</v>
      </c>
      <c r="L152" s="166">
        <v>548.20000000000005</v>
      </c>
      <c r="N152" s="166">
        <v>26355.46</v>
      </c>
      <c r="O152" s="166">
        <v>26206.46</v>
      </c>
      <c r="P152" s="166">
        <v>149</v>
      </c>
      <c r="R152" s="166">
        <v>7942.77</v>
      </c>
      <c r="S152" s="166">
        <v>7942.77</v>
      </c>
      <c r="T152" s="166">
        <v>0</v>
      </c>
      <c r="V152" s="166">
        <f t="shared" si="5"/>
        <v>183316.58999999997</v>
      </c>
      <c r="W152" s="166">
        <f t="shared" si="5"/>
        <v>181758.46999999997</v>
      </c>
      <c r="X152" s="166">
        <f t="shared" si="5"/>
        <v>1558.12</v>
      </c>
      <c r="Y152" s="542"/>
      <c r="Z152" s="172">
        <v>149018.35999999999</v>
      </c>
      <c r="AA152" s="172">
        <v>147609.24</v>
      </c>
      <c r="AB152" s="172">
        <v>1409.12</v>
      </c>
      <c r="AD152" s="166">
        <v>10175</v>
      </c>
      <c r="AE152" s="166">
        <v>10175</v>
      </c>
      <c r="AF152" s="166">
        <v>0</v>
      </c>
    </row>
    <row r="153" spans="1:33" s="153" customFormat="1" ht="11.25" x14ac:dyDescent="0.2">
      <c r="A153" s="624" t="s">
        <v>11</v>
      </c>
      <c r="B153" s="624"/>
      <c r="C153" s="624"/>
      <c r="D153" s="254"/>
      <c r="F153" s="166">
        <v>26377.469999999998</v>
      </c>
      <c r="G153" s="166">
        <v>26116.35</v>
      </c>
      <c r="H153" s="166">
        <v>261.12</v>
      </c>
      <c r="J153" s="166">
        <v>71016.37</v>
      </c>
      <c r="K153" s="166">
        <v>68665.63</v>
      </c>
      <c r="L153" s="166">
        <v>2350.7399999999998</v>
      </c>
      <c r="N153" s="166">
        <v>20198.66</v>
      </c>
      <c r="O153" s="166">
        <v>20192.16</v>
      </c>
      <c r="P153" s="166">
        <v>6.5</v>
      </c>
      <c r="R153" s="166">
        <v>1439.6000000000001</v>
      </c>
      <c r="S153" s="166">
        <v>1439.6000000000001</v>
      </c>
      <c r="T153" s="166">
        <v>0</v>
      </c>
      <c r="V153" s="166">
        <f t="shared" si="5"/>
        <v>119032.1</v>
      </c>
      <c r="W153" s="166">
        <f t="shared" si="5"/>
        <v>116413.74000000002</v>
      </c>
      <c r="X153" s="166">
        <f t="shared" si="5"/>
        <v>2618.3599999999997</v>
      </c>
      <c r="Y153" s="542"/>
      <c r="Z153" s="172">
        <v>97393.84</v>
      </c>
      <c r="AA153" s="172">
        <v>94781.98000000001</v>
      </c>
      <c r="AB153" s="172">
        <v>2611.8599999999997</v>
      </c>
      <c r="AD153" s="166">
        <v>10958.94</v>
      </c>
      <c r="AE153" s="166">
        <v>10958</v>
      </c>
      <c r="AF153" s="166">
        <v>0</v>
      </c>
    </row>
    <row r="154" spans="1:33" s="153" customFormat="1" ht="11.25" x14ac:dyDescent="0.2">
      <c r="A154" s="624" t="s">
        <v>12</v>
      </c>
      <c r="B154" s="624"/>
      <c r="C154" s="624"/>
      <c r="D154" s="254"/>
      <c r="F154" s="166">
        <v>14564.67</v>
      </c>
      <c r="G154" s="166">
        <v>12898.29</v>
      </c>
      <c r="H154" s="166">
        <v>1666.3799999999997</v>
      </c>
      <c r="J154" s="166">
        <v>55566.07</v>
      </c>
      <c r="K154" s="166">
        <v>55262.54</v>
      </c>
      <c r="L154" s="166">
        <v>303.53000000000009</v>
      </c>
      <c r="N154" s="166">
        <v>44721.19</v>
      </c>
      <c r="O154" s="166">
        <v>42408.42</v>
      </c>
      <c r="P154" s="166">
        <v>2312.77</v>
      </c>
      <c r="R154" s="166">
        <v>3000.42</v>
      </c>
      <c r="S154" s="166">
        <v>50.419999999999995</v>
      </c>
      <c r="T154" s="166">
        <v>2950</v>
      </c>
      <c r="V154" s="166">
        <f t="shared" si="5"/>
        <v>117852.35</v>
      </c>
      <c r="W154" s="166">
        <f t="shared" si="5"/>
        <v>110619.67</v>
      </c>
      <c r="X154" s="166">
        <f t="shared" si="5"/>
        <v>7232.68</v>
      </c>
      <c r="Y154" s="542"/>
      <c r="Z154" s="172">
        <v>70130.740000000005</v>
      </c>
      <c r="AA154" s="172">
        <v>68160.83</v>
      </c>
      <c r="AB154" s="172">
        <v>1969.9099999999999</v>
      </c>
      <c r="AD154" s="166">
        <v>5000.4799999999996</v>
      </c>
      <c r="AE154" s="166">
        <v>3923</v>
      </c>
      <c r="AF154" s="166">
        <v>1073.78</v>
      </c>
    </row>
    <row r="155" spans="1:33" s="153" customFormat="1" ht="11.25" x14ac:dyDescent="0.2">
      <c r="A155" s="112"/>
      <c r="B155" s="112"/>
      <c r="C155" s="112"/>
      <c r="D155" s="254"/>
      <c r="F155" s="170"/>
      <c r="G155" s="170"/>
      <c r="H155" s="170"/>
      <c r="J155" s="170"/>
      <c r="K155" s="170"/>
      <c r="L155" s="170"/>
      <c r="N155" s="170"/>
      <c r="O155" s="170"/>
      <c r="P155" s="170"/>
      <c r="R155" s="170"/>
      <c r="S155" s="170"/>
      <c r="T155" s="170"/>
      <c r="V155" s="170"/>
      <c r="W155" s="170"/>
      <c r="X155" s="170"/>
      <c r="Y155" s="542"/>
      <c r="Z155" s="172"/>
      <c r="AA155" s="172"/>
      <c r="AB155" s="172"/>
      <c r="AD155" s="170"/>
      <c r="AE155" s="170"/>
      <c r="AF155" s="170"/>
    </row>
    <row r="156" spans="1:33" s="153" customFormat="1" ht="11.25" x14ac:dyDescent="0.2">
      <c r="A156" s="654" t="s">
        <v>8</v>
      </c>
      <c r="B156" s="655"/>
      <c r="C156" s="656"/>
      <c r="D156" s="258"/>
      <c r="E156" s="261"/>
      <c r="F156" s="260">
        <v>375774.0400000001</v>
      </c>
      <c r="G156" s="260">
        <v>365555.27000000008</v>
      </c>
      <c r="H156" s="260">
        <v>10218.77</v>
      </c>
      <c r="I156" s="261"/>
      <c r="J156" s="260">
        <v>151513.07999999999</v>
      </c>
      <c r="K156" s="260">
        <v>148184.28999999998</v>
      </c>
      <c r="L156" s="260">
        <v>3328.79</v>
      </c>
      <c r="M156" s="261"/>
      <c r="N156" s="260">
        <v>123571.99</v>
      </c>
      <c r="O156" s="260">
        <v>115476.19999999998</v>
      </c>
      <c r="P156" s="260">
        <v>8095.79</v>
      </c>
      <c r="Q156" s="261"/>
      <c r="R156" s="260">
        <v>14228.02</v>
      </c>
      <c r="S156" s="260">
        <v>13068.420000000002</v>
      </c>
      <c r="T156" s="260">
        <v>1159.5999999999999</v>
      </c>
      <c r="U156" s="261"/>
      <c r="V156" s="501">
        <f>F156+J156+N156+R156</f>
        <v>665087.13000000012</v>
      </c>
      <c r="W156" s="501">
        <f>G156+K156+O156+S156</f>
        <v>642284.18000000005</v>
      </c>
      <c r="X156" s="501">
        <f>H156+L156+P156+T156</f>
        <v>22802.95</v>
      </c>
      <c r="Y156" s="542"/>
      <c r="Z156" s="203">
        <v>527287.12000000011</v>
      </c>
      <c r="AA156" s="203">
        <v>513739.56000000006</v>
      </c>
      <c r="AB156" s="203">
        <v>13547.560000000001</v>
      </c>
      <c r="AD156" s="260">
        <v>27401.169999999995</v>
      </c>
      <c r="AE156" s="260">
        <v>25215</v>
      </c>
      <c r="AF156" s="260">
        <v>2178.4299999999998</v>
      </c>
      <c r="AG156" s="261"/>
    </row>
    <row r="157" spans="1:33" s="153" customFormat="1" ht="11.25" x14ac:dyDescent="0.2">
      <c r="A157" s="259"/>
      <c r="B157" s="259" t="s">
        <v>571</v>
      </c>
      <c r="C157" s="259"/>
      <c r="D157" s="258"/>
      <c r="E157" s="259"/>
      <c r="F157" s="263"/>
      <c r="G157" s="263"/>
      <c r="H157" s="264"/>
      <c r="I157" s="259"/>
      <c r="J157" s="263"/>
      <c r="K157" s="263"/>
      <c r="L157" s="263"/>
      <c r="M157" s="259"/>
      <c r="N157" s="263"/>
      <c r="O157" s="263"/>
      <c r="P157" s="263"/>
      <c r="Q157" s="259"/>
      <c r="R157" s="263"/>
      <c r="S157" s="263"/>
      <c r="T157" s="263"/>
      <c r="U157" s="259"/>
      <c r="V157" s="265"/>
      <c r="W157" s="265"/>
      <c r="X157" s="265"/>
      <c r="Y157" s="542"/>
      <c r="Z157" s="172"/>
      <c r="AA157" s="172"/>
      <c r="AB157" s="172"/>
      <c r="AD157" s="263"/>
      <c r="AE157" s="263"/>
      <c r="AF157" s="263"/>
      <c r="AG157" s="259"/>
    </row>
    <row r="158" spans="1:33" s="153" customFormat="1" ht="11.25" x14ac:dyDescent="0.2">
      <c r="A158" s="653" t="s">
        <v>9</v>
      </c>
      <c r="B158" s="653"/>
      <c r="C158" s="653"/>
      <c r="D158" s="267"/>
      <c r="E158" s="259"/>
      <c r="F158" s="267">
        <v>222361.39</v>
      </c>
      <c r="G158" s="267">
        <v>218791.74</v>
      </c>
      <c r="H158" s="267">
        <v>3569.65</v>
      </c>
      <c r="I158" s="259"/>
      <c r="J158" s="267">
        <v>30951.370000000003</v>
      </c>
      <c r="K158" s="267">
        <v>29679.910000000003</v>
      </c>
      <c r="L158" s="267">
        <v>1271.46</v>
      </c>
      <c r="M158" s="259"/>
      <c r="N158" s="267">
        <v>7339.15</v>
      </c>
      <c r="O158" s="267">
        <v>5899</v>
      </c>
      <c r="P158" s="267">
        <v>1440.15</v>
      </c>
      <c r="Q158" s="259"/>
      <c r="R158" s="267">
        <v>4923.8100000000004</v>
      </c>
      <c r="S158" s="267">
        <v>3807.21</v>
      </c>
      <c r="T158" s="267">
        <v>1116.5999999999999</v>
      </c>
      <c r="U158" s="259"/>
      <c r="V158" s="267">
        <f t="shared" ref="V158:X161" si="6">F158+J158+N158+R158</f>
        <v>265575.72000000003</v>
      </c>
      <c r="W158" s="267">
        <f t="shared" si="6"/>
        <v>258177.86</v>
      </c>
      <c r="X158" s="267">
        <f t="shared" si="6"/>
        <v>7397.8600000000006</v>
      </c>
      <c r="Y158" s="542"/>
      <c r="Z158" s="172">
        <v>253312.76</v>
      </c>
      <c r="AA158" s="172">
        <v>248471.65</v>
      </c>
      <c r="AB158" s="172">
        <v>4841.1100000000006</v>
      </c>
      <c r="AD158" s="267">
        <v>6217.7699999999995</v>
      </c>
      <c r="AE158" s="267">
        <v>5325</v>
      </c>
      <c r="AF158" s="267">
        <v>890.7</v>
      </c>
      <c r="AG158" s="259"/>
    </row>
    <row r="159" spans="1:33" s="153" customFormat="1" ht="11.25" x14ac:dyDescent="0.2">
      <c r="A159" s="653" t="s">
        <v>10</v>
      </c>
      <c r="B159" s="653"/>
      <c r="C159" s="653"/>
      <c r="D159" s="268"/>
      <c r="E159" s="259"/>
      <c r="F159" s="267">
        <v>108969.45</v>
      </c>
      <c r="G159" s="267">
        <v>108129.53000000001</v>
      </c>
      <c r="H159" s="267">
        <v>839.92</v>
      </c>
      <c r="I159" s="259"/>
      <c r="J159" s="267">
        <v>15312.990000000002</v>
      </c>
      <c r="K159" s="267">
        <v>15159.75</v>
      </c>
      <c r="L159" s="267">
        <v>153.24</v>
      </c>
      <c r="M159" s="259"/>
      <c r="N159" s="267">
        <v>28860.93</v>
      </c>
      <c r="O159" s="267">
        <v>27762.93</v>
      </c>
      <c r="P159" s="267">
        <v>1098</v>
      </c>
      <c r="Q159" s="259"/>
      <c r="R159" s="267">
        <v>7618.42</v>
      </c>
      <c r="S159" s="267">
        <v>7618.42</v>
      </c>
      <c r="T159" s="267">
        <v>0</v>
      </c>
      <c r="U159" s="259"/>
      <c r="V159" s="267">
        <f t="shared" si="6"/>
        <v>160761.79</v>
      </c>
      <c r="W159" s="267">
        <f t="shared" si="6"/>
        <v>158670.63000000003</v>
      </c>
      <c r="X159" s="267">
        <f t="shared" si="6"/>
        <v>2091.16</v>
      </c>
      <c r="Y159" s="542"/>
      <c r="Z159" s="172">
        <v>124282.44</v>
      </c>
      <c r="AA159" s="172">
        <v>123289.28000000001</v>
      </c>
      <c r="AB159" s="172">
        <v>993.16</v>
      </c>
      <c r="AD159" s="267">
        <v>14320.12</v>
      </c>
      <c r="AE159" s="267">
        <v>14320</v>
      </c>
      <c r="AF159" s="267">
        <v>0</v>
      </c>
      <c r="AG159" s="259"/>
    </row>
    <row r="160" spans="1:33" s="153" customFormat="1" ht="11.25" x14ac:dyDescent="0.2">
      <c r="A160" s="653" t="s">
        <v>11</v>
      </c>
      <c r="B160" s="653"/>
      <c r="C160" s="653"/>
      <c r="D160" s="268"/>
      <c r="E160" s="259"/>
      <c r="F160" s="267">
        <v>23149.210000000003</v>
      </c>
      <c r="G160" s="267">
        <v>22954.490000000005</v>
      </c>
      <c r="H160" s="267">
        <v>194.72</v>
      </c>
      <c r="I160" s="259"/>
      <c r="J160" s="267">
        <v>73694.78</v>
      </c>
      <c r="K160" s="267">
        <v>72057.45</v>
      </c>
      <c r="L160" s="267">
        <v>1637.33</v>
      </c>
      <c r="M160" s="259"/>
      <c r="N160" s="267">
        <v>34580.050000000003</v>
      </c>
      <c r="O160" s="267">
        <v>33688.26</v>
      </c>
      <c r="P160" s="267">
        <v>891.79</v>
      </c>
      <c r="Q160" s="259"/>
      <c r="R160" s="267">
        <v>1428.95</v>
      </c>
      <c r="S160" s="267">
        <v>1428.95</v>
      </c>
      <c r="T160" s="267">
        <v>0</v>
      </c>
      <c r="U160" s="259"/>
      <c r="V160" s="267">
        <f t="shared" si="6"/>
        <v>132852.99000000002</v>
      </c>
      <c r="W160" s="267">
        <f t="shared" si="6"/>
        <v>130129.15000000001</v>
      </c>
      <c r="X160" s="267">
        <f t="shared" si="6"/>
        <v>2723.84</v>
      </c>
      <c r="Y160" s="542"/>
      <c r="Z160" s="172">
        <v>96843.99</v>
      </c>
      <c r="AA160" s="172">
        <v>95011.94</v>
      </c>
      <c r="AB160" s="172">
        <v>1832.05</v>
      </c>
      <c r="AD160" s="267">
        <v>993.03</v>
      </c>
      <c r="AE160" s="267">
        <v>992</v>
      </c>
      <c r="AF160" s="267">
        <v>0</v>
      </c>
      <c r="AG160" s="259"/>
    </row>
    <row r="161" spans="1:33" s="153" customFormat="1" ht="11.25" x14ac:dyDescent="0.2">
      <c r="A161" s="653" t="s">
        <v>12</v>
      </c>
      <c r="B161" s="653"/>
      <c r="C161" s="653"/>
      <c r="D161" s="268"/>
      <c r="E161" s="259"/>
      <c r="F161" s="267">
        <v>21293.989999999998</v>
      </c>
      <c r="G161" s="267">
        <v>15679.51</v>
      </c>
      <c r="H161" s="267">
        <v>5614.48</v>
      </c>
      <c r="I161" s="259"/>
      <c r="J161" s="267">
        <v>31553.940000000002</v>
      </c>
      <c r="K161" s="267">
        <v>31287.180000000004</v>
      </c>
      <c r="L161" s="267">
        <v>266.76</v>
      </c>
      <c r="M161" s="259"/>
      <c r="N161" s="267">
        <v>52791.859999999993</v>
      </c>
      <c r="O161" s="267">
        <v>48126.009999999995</v>
      </c>
      <c r="P161" s="267">
        <v>4665.8499999999995</v>
      </c>
      <c r="Q161" s="259"/>
      <c r="R161" s="267">
        <v>256.83999999999997</v>
      </c>
      <c r="S161" s="267">
        <v>213.83999999999997</v>
      </c>
      <c r="T161" s="267">
        <v>43</v>
      </c>
      <c r="U161" s="259"/>
      <c r="V161" s="267">
        <f t="shared" si="6"/>
        <v>105896.62999999999</v>
      </c>
      <c r="W161" s="267">
        <f t="shared" si="6"/>
        <v>95306.54</v>
      </c>
      <c r="X161" s="267">
        <f t="shared" si="6"/>
        <v>10590.09</v>
      </c>
      <c r="Y161" s="542"/>
      <c r="Z161" s="172">
        <v>52847.93</v>
      </c>
      <c r="AA161" s="172">
        <v>46966.69</v>
      </c>
      <c r="AB161" s="172">
        <v>5881.24</v>
      </c>
      <c r="AD161" s="267">
        <v>5870.2499999999991</v>
      </c>
      <c r="AE161" s="267">
        <v>4578</v>
      </c>
      <c r="AF161" s="267">
        <v>1287.73</v>
      </c>
      <c r="AG161" s="259"/>
    </row>
    <row r="162" spans="1:33" s="153" customFormat="1" ht="11.25" x14ac:dyDescent="0.2">
      <c r="A162" s="112"/>
      <c r="B162" s="112"/>
      <c r="C162" s="112"/>
      <c r="D162" s="254"/>
      <c r="F162" s="170"/>
      <c r="G162" s="170"/>
      <c r="H162" s="170"/>
      <c r="J162" s="170"/>
      <c r="K162" s="170"/>
      <c r="L162" s="170"/>
      <c r="N162" s="170"/>
      <c r="O162" s="170"/>
      <c r="P162" s="170"/>
      <c r="R162" s="170"/>
      <c r="S162" s="170"/>
      <c r="T162" s="170"/>
      <c r="V162" s="170"/>
      <c r="W162" s="170"/>
      <c r="X162" s="170"/>
      <c r="Y162" s="542"/>
      <c r="Z162" s="172"/>
      <c r="AA162" s="172"/>
      <c r="AB162" s="172"/>
      <c r="AD162" s="170"/>
      <c r="AE162" s="170"/>
      <c r="AF162" s="170"/>
    </row>
    <row r="163" spans="1:33" s="153" customFormat="1" x14ac:dyDescent="0.2">
      <c r="A163" s="112"/>
      <c r="B163" s="112"/>
      <c r="C163" s="543" t="s">
        <v>758</v>
      </c>
      <c r="D163" s="254"/>
      <c r="F163" s="170"/>
      <c r="G163" s="170"/>
      <c r="H163" s="170"/>
      <c r="J163" s="170"/>
      <c r="K163" s="170"/>
      <c r="L163" s="170"/>
      <c r="N163" s="170"/>
      <c r="O163" s="170"/>
      <c r="P163" s="170"/>
      <c r="R163" s="170"/>
      <c r="S163" s="170"/>
      <c r="T163" s="170"/>
      <c r="V163" s="170"/>
      <c r="W163" s="170"/>
      <c r="X163" s="170"/>
      <c r="Y163" s="163"/>
      <c r="AD163" s="170"/>
      <c r="AE163" s="170"/>
      <c r="AF163" s="170"/>
    </row>
    <row r="164" spans="1:33" s="153" customFormat="1" ht="11.25" x14ac:dyDescent="0.2">
      <c r="A164" s="625" t="s">
        <v>8</v>
      </c>
      <c r="B164" s="626"/>
      <c r="C164" s="627"/>
      <c r="D164" s="183"/>
      <c r="E164" s="184"/>
      <c r="F164" s="185">
        <v>425121.11000000004</v>
      </c>
      <c r="G164" s="185">
        <v>412147.82000000007</v>
      </c>
      <c r="H164" s="185">
        <v>12973.289999999999</v>
      </c>
      <c r="I164" s="271"/>
      <c r="J164" s="185">
        <v>139329.25999999998</v>
      </c>
      <c r="K164" s="185">
        <v>136090.18</v>
      </c>
      <c r="L164" s="185">
        <v>3239.0800000000004</v>
      </c>
      <c r="M164" s="271"/>
      <c r="N164" s="185">
        <v>117539.41</v>
      </c>
      <c r="O164" s="185">
        <v>112099.25000000001</v>
      </c>
      <c r="P164" s="185">
        <v>5440.1599999999989</v>
      </c>
      <c r="Q164" s="184"/>
      <c r="R164" s="185">
        <v>18464.84</v>
      </c>
      <c r="S164" s="185">
        <v>13466.84</v>
      </c>
      <c r="T164" s="185">
        <v>4998</v>
      </c>
      <c r="U164" s="184"/>
      <c r="V164" s="185">
        <f>F164+J164+N164+R164</f>
        <v>700454.62</v>
      </c>
      <c r="W164" s="185">
        <f>G164+K164+O164+S164</f>
        <v>673804.09</v>
      </c>
      <c r="X164" s="185">
        <f>H164+L164+P164+T164</f>
        <v>26650.53</v>
      </c>
      <c r="Y164" s="163"/>
      <c r="Z164" s="172">
        <f>F164+J164</f>
        <v>564450.37</v>
      </c>
      <c r="AA164" s="172">
        <f>G164+K164</f>
        <v>548238</v>
      </c>
      <c r="AB164" s="172">
        <f>H164+L164</f>
        <v>16212.369999999999</v>
      </c>
      <c r="AD164" s="185">
        <v>10675.01</v>
      </c>
      <c r="AE164" s="185">
        <v>9157</v>
      </c>
      <c r="AF164" s="185">
        <v>1513.94</v>
      </c>
      <c r="AG164" s="184"/>
    </row>
    <row r="165" spans="1:33" s="153" customFormat="1" ht="11.25" x14ac:dyDescent="0.2">
      <c r="A165" s="184"/>
      <c r="B165" s="184" t="s">
        <v>572</v>
      </c>
      <c r="C165" s="184"/>
      <c r="D165" s="183"/>
      <c r="E165" s="184"/>
      <c r="F165" s="272"/>
      <c r="G165" s="272"/>
      <c r="H165" s="188"/>
      <c r="I165" s="184"/>
      <c r="J165" s="272"/>
      <c r="K165" s="272"/>
      <c r="L165" s="272"/>
      <c r="M165" s="184"/>
      <c r="N165" s="272"/>
      <c r="O165" s="272"/>
      <c r="P165" s="272"/>
      <c r="Q165" s="184"/>
      <c r="R165" s="272"/>
      <c r="S165" s="272"/>
      <c r="T165" s="272"/>
      <c r="U165" s="184"/>
      <c r="V165" s="272"/>
      <c r="W165" s="272"/>
      <c r="X165" s="272"/>
      <c r="Y165" s="163"/>
      <c r="AD165" s="272"/>
      <c r="AE165" s="272"/>
      <c r="AF165" s="272"/>
      <c r="AG165" s="184"/>
    </row>
    <row r="166" spans="1:33" s="153" customFormat="1" ht="11.25" x14ac:dyDescent="0.2">
      <c r="A166" s="616" t="s">
        <v>9</v>
      </c>
      <c r="B166" s="616"/>
      <c r="C166" s="616"/>
      <c r="D166" s="191"/>
      <c r="E166" s="184"/>
      <c r="F166" s="191">
        <v>259030.77</v>
      </c>
      <c r="G166" s="191">
        <v>255082.05000000002</v>
      </c>
      <c r="H166" s="191">
        <v>3948.72</v>
      </c>
      <c r="I166" s="184"/>
      <c r="J166" s="191">
        <v>34715.96</v>
      </c>
      <c r="K166" s="191">
        <v>33218.959999999999</v>
      </c>
      <c r="L166" s="191">
        <v>1497</v>
      </c>
      <c r="M166" s="184"/>
      <c r="N166" s="191">
        <v>7127</v>
      </c>
      <c r="O166" s="191">
        <v>6708</v>
      </c>
      <c r="P166" s="191">
        <v>419</v>
      </c>
      <c r="Q166" s="184"/>
      <c r="R166" s="191">
        <v>6970.2099999999991</v>
      </c>
      <c r="S166" s="191">
        <v>5902.71</v>
      </c>
      <c r="T166" s="191">
        <v>1067.5</v>
      </c>
      <c r="U166" s="184"/>
      <c r="V166" s="191">
        <f t="shared" ref="V166:X169" si="7">F166+J166+N166+R166</f>
        <v>307843.94</v>
      </c>
      <c r="W166" s="191">
        <f t="shared" si="7"/>
        <v>300911.72000000003</v>
      </c>
      <c r="X166" s="191">
        <f t="shared" si="7"/>
        <v>6932.2199999999993</v>
      </c>
      <c r="Y166" s="163"/>
      <c r="Z166" s="172">
        <f>F166+J166</f>
        <v>293746.73</v>
      </c>
      <c r="AA166" s="172">
        <f t="shared" ref="AA166:AB169" si="8">G166+K166</f>
        <v>288301.01</v>
      </c>
      <c r="AB166" s="172">
        <f t="shared" si="8"/>
        <v>5445.7199999999993</v>
      </c>
      <c r="AD166" s="191">
        <v>4636.04</v>
      </c>
      <c r="AE166" s="191">
        <v>4051</v>
      </c>
      <c r="AF166" s="191">
        <v>584.95999999999992</v>
      </c>
      <c r="AG166" s="184"/>
    </row>
    <row r="167" spans="1:33" s="153" customFormat="1" ht="11.25" x14ac:dyDescent="0.2">
      <c r="A167" s="616" t="s">
        <v>10</v>
      </c>
      <c r="B167" s="616"/>
      <c r="C167" s="616"/>
      <c r="D167" s="273"/>
      <c r="E167" s="184"/>
      <c r="F167" s="191">
        <v>109517.39</v>
      </c>
      <c r="G167" s="191">
        <v>108542.29999999999</v>
      </c>
      <c r="H167" s="191">
        <v>975.09</v>
      </c>
      <c r="I167" s="184"/>
      <c r="J167" s="191">
        <v>15945.759999999998</v>
      </c>
      <c r="K167" s="191">
        <v>15817.8</v>
      </c>
      <c r="L167" s="191">
        <v>127.96</v>
      </c>
      <c r="M167" s="184"/>
      <c r="N167" s="191">
        <v>25929.84</v>
      </c>
      <c r="O167" s="191">
        <v>25902.449999999993</v>
      </c>
      <c r="P167" s="191">
        <v>27.39</v>
      </c>
      <c r="Q167" s="184"/>
      <c r="R167" s="191">
        <v>8968.8799999999992</v>
      </c>
      <c r="S167" s="191">
        <v>5058.88</v>
      </c>
      <c r="T167" s="191">
        <v>3910</v>
      </c>
      <c r="U167" s="184"/>
      <c r="V167" s="191">
        <f t="shared" si="7"/>
        <v>160361.87</v>
      </c>
      <c r="W167" s="191">
        <f t="shared" si="7"/>
        <v>155321.43</v>
      </c>
      <c r="X167" s="191">
        <f t="shared" si="7"/>
        <v>5040.4400000000005</v>
      </c>
      <c r="Y167" s="163"/>
      <c r="Z167" s="172">
        <f>F167+J167</f>
        <v>125463.15</v>
      </c>
      <c r="AA167" s="172">
        <f t="shared" si="8"/>
        <v>124360.09999999999</v>
      </c>
      <c r="AB167" s="172">
        <f t="shared" si="8"/>
        <v>1103.05</v>
      </c>
      <c r="AD167" s="191">
        <v>709.39</v>
      </c>
      <c r="AE167" s="191">
        <v>709</v>
      </c>
      <c r="AF167" s="191">
        <v>0</v>
      </c>
      <c r="AG167" s="184"/>
    </row>
    <row r="168" spans="1:33" s="153" customFormat="1" ht="11.25" x14ac:dyDescent="0.2">
      <c r="A168" s="616" t="s">
        <v>11</v>
      </c>
      <c r="B168" s="616"/>
      <c r="C168" s="616"/>
      <c r="D168" s="273"/>
      <c r="E168" s="184"/>
      <c r="F168" s="191">
        <v>32378.280000000002</v>
      </c>
      <c r="G168" s="191">
        <v>31380.5</v>
      </c>
      <c r="H168" s="191">
        <v>997.78</v>
      </c>
      <c r="I168" s="184"/>
      <c r="J168" s="191">
        <v>57981.890000000007</v>
      </c>
      <c r="K168" s="191">
        <v>56950.210000000006</v>
      </c>
      <c r="L168" s="191">
        <v>1031.68</v>
      </c>
      <c r="M168" s="184"/>
      <c r="N168" s="191">
        <v>33079.129999999997</v>
      </c>
      <c r="O168" s="191">
        <v>32422.190000000002</v>
      </c>
      <c r="P168" s="191">
        <v>656.94</v>
      </c>
      <c r="Q168" s="184"/>
      <c r="R168" s="191">
        <v>2229.1600000000003</v>
      </c>
      <c r="S168" s="191">
        <v>2229.1600000000003</v>
      </c>
      <c r="T168" s="191">
        <v>0</v>
      </c>
      <c r="U168" s="184"/>
      <c r="V168" s="191">
        <f t="shared" si="7"/>
        <v>125668.46000000002</v>
      </c>
      <c r="W168" s="191">
        <f t="shared" si="7"/>
        <v>122982.06000000001</v>
      </c>
      <c r="X168" s="191">
        <f t="shared" si="7"/>
        <v>2686.4</v>
      </c>
      <c r="Y168" s="163"/>
      <c r="Z168" s="172">
        <f>F168+J168</f>
        <v>90360.170000000013</v>
      </c>
      <c r="AA168" s="172">
        <f t="shared" si="8"/>
        <v>88330.71</v>
      </c>
      <c r="AB168" s="172">
        <f t="shared" si="8"/>
        <v>2029.46</v>
      </c>
      <c r="AD168" s="191">
        <v>698.97</v>
      </c>
      <c r="AE168" s="191">
        <v>695</v>
      </c>
      <c r="AF168" s="191">
        <v>2.98</v>
      </c>
      <c r="AG168" s="184"/>
    </row>
    <row r="169" spans="1:33" s="153" customFormat="1" ht="11.25" x14ac:dyDescent="0.2">
      <c r="A169" s="616" t="s">
        <v>12</v>
      </c>
      <c r="B169" s="616"/>
      <c r="C169" s="616"/>
      <c r="D169" s="273"/>
      <c r="E169" s="184"/>
      <c r="F169" s="191">
        <v>24194.670000000002</v>
      </c>
      <c r="G169" s="191">
        <v>17142.97</v>
      </c>
      <c r="H169" s="191">
        <v>7051.7</v>
      </c>
      <c r="I169" s="184"/>
      <c r="J169" s="191">
        <v>30685.649999999998</v>
      </c>
      <c r="K169" s="191">
        <v>30103.209999999992</v>
      </c>
      <c r="L169" s="191">
        <v>582.43999999999994</v>
      </c>
      <c r="M169" s="184"/>
      <c r="N169" s="191">
        <v>51403.44</v>
      </c>
      <c r="O169" s="191">
        <v>47066.61</v>
      </c>
      <c r="P169" s="191">
        <v>4336.829999999999</v>
      </c>
      <c r="Q169" s="184"/>
      <c r="R169" s="191">
        <v>296.59000000000003</v>
      </c>
      <c r="S169" s="191">
        <v>276.09000000000003</v>
      </c>
      <c r="T169" s="191">
        <v>20.5</v>
      </c>
      <c r="U169" s="184"/>
      <c r="V169" s="191">
        <f t="shared" si="7"/>
        <v>106580.35</v>
      </c>
      <c r="W169" s="191">
        <f t="shared" si="7"/>
        <v>94588.87999999999</v>
      </c>
      <c r="X169" s="191">
        <f t="shared" si="7"/>
        <v>11991.469999999998</v>
      </c>
      <c r="Y169" s="163"/>
      <c r="Z169" s="172">
        <f>F169+J169</f>
        <v>54880.32</v>
      </c>
      <c r="AA169" s="172">
        <f t="shared" si="8"/>
        <v>47246.179999999993</v>
      </c>
      <c r="AB169" s="172">
        <f t="shared" si="8"/>
        <v>7634.1399999999994</v>
      </c>
      <c r="AD169" s="191">
        <v>4630.6100000000006</v>
      </c>
      <c r="AE169" s="191">
        <v>3702</v>
      </c>
      <c r="AF169" s="191">
        <v>926</v>
      </c>
      <c r="AG169" s="184"/>
    </row>
    <row r="170" spans="1:33" s="153" customFormat="1" ht="11.25" x14ac:dyDescent="0.2">
      <c r="A170" s="112"/>
      <c r="B170" s="112"/>
      <c r="C170" s="112"/>
      <c r="D170" s="254"/>
      <c r="F170" s="170"/>
      <c r="G170" s="170"/>
      <c r="H170" s="170"/>
      <c r="J170" s="170"/>
      <c r="K170" s="170"/>
      <c r="L170" s="170"/>
      <c r="N170" s="170"/>
      <c r="O170" s="170"/>
      <c r="P170" s="170"/>
      <c r="R170" s="170"/>
      <c r="S170" s="170"/>
      <c r="T170" s="170"/>
      <c r="V170" s="170"/>
      <c r="W170" s="170"/>
      <c r="X170" s="170"/>
      <c r="Y170" s="163"/>
      <c r="AD170" s="170"/>
      <c r="AE170" s="170"/>
      <c r="AF170" s="170"/>
    </row>
    <row r="171" spans="1:33" x14ac:dyDescent="0.2">
      <c r="A171" s="617" t="s">
        <v>8</v>
      </c>
      <c r="B171" s="618"/>
      <c r="C171" s="619"/>
      <c r="D171" s="193"/>
      <c r="E171" s="194"/>
      <c r="F171" s="195">
        <v>565635.31000000006</v>
      </c>
      <c r="G171" s="195">
        <v>548645.73</v>
      </c>
      <c r="H171" s="195">
        <v>16989.580000000002</v>
      </c>
      <c r="I171" s="274"/>
      <c r="J171" s="195">
        <v>120002.12000000001</v>
      </c>
      <c r="K171" s="195"/>
      <c r="L171" s="195"/>
      <c r="M171" s="274"/>
      <c r="N171" s="195">
        <v>151645.57000000004</v>
      </c>
      <c r="O171" s="195">
        <v>146626.46000000005</v>
      </c>
      <c r="P171" s="195">
        <v>5019.1099999999997</v>
      </c>
      <c r="Q171" s="194"/>
      <c r="R171" s="195">
        <v>28361.459999999995</v>
      </c>
      <c r="S171" s="195">
        <v>28286.029999999995</v>
      </c>
      <c r="T171" s="195">
        <v>75.430000000000007</v>
      </c>
      <c r="U171" s="194"/>
      <c r="V171" s="195">
        <f>F171+J171+N171+R171-J171</f>
        <v>745642.34000000008</v>
      </c>
      <c r="W171" s="195">
        <f>G171+K171+O171+S171</f>
        <v>723558.22000000009</v>
      </c>
      <c r="X171" s="195">
        <f>H171+L171+P171+T171</f>
        <v>22084.120000000003</v>
      </c>
    </row>
    <row r="172" spans="1:33" s="153" customFormat="1" ht="11.25" x14ac:dyDescent="0.2">
      <c r="A172" s="194"/>
      <c r="B172" s="194" t="s">
        <v>573</v>
      </c>
      <c r="C172" s="194"/>
      <c r="D172" s="193"/>
      <c r="E172" s="194"/>
      <c r="F172" s="275"/>
      <c r="G172" s="275"/>
      <c r="H172" s="198"/>
      <c r="I172" s="194"/>
      <c r="J172" s="275"/>
      <c r="K172" s="275"/>
      <c r="L172" s="275"/>
      <c r="M172" s="194"/>
      <c r="N172" s="275"/>
      <c r="O172" s="275"/>
      <c r="P172" s="275"/>
      <c r="Q172" s="194"/>
      <c r="R172" s="275"/>
      <c r="S172" s="275"/>
      <c r="T172" s="275"/>
      <c r="U172" s="194"/>
      <c r="V172" s="275"/>
      <c r="W172" s="275"/>
      <c r="X172" s="275"/>
      <c r="Y172" s="163"/>
    </row>
    <row r="173" spans="1:33" s="153" customFormat="1" ht="11.25" x14ac:dyDescent="0.2">
      <c r="A173" s="620" t="s">
        <v>9</v>
      </c>
      <c r="B173" s="620"/>
      <c r="C173" s="620"/>
      <c r="D173" s="201"/>
      <c r="E173" s="194"/>
      <c r="F173" s="201">
        <v>312668.95</v>
      </c>
      <c r="G173" s="201">
        <v>306379.7</v>
      </c>
      <c r="H173" s="201">
        <v>6289.25</v>
      </c>
      <c r="I173" s="194"/>
      <c r="J173" s="201"/>
      <c r="K173" s="201"/>
      <c r="L173" s="201"/>
      <c r="M173" s="194"/>
      <c r="N173" s="201">
        <v>16693</v>
      </c>
      <c r="O173" s="201">
        <v>16693</v>
      </c>
      <c r="P173" s="201">
        <v>0</v>
      </c>
      <c r="Q173" s="194"/>
      <c r="R173" s="201">
        <v>11509.78</v>
      </c>
      <c r="S173" s="201">
        <v>11437.53</v>
      </c>
      <c r="T173" s="201">
        <v>72.25</v>
      </c>
      <c r="U173" s="194"/>
      <c r="V173" s="201">
        <f t="shared" ref="V173:X176" si="9">F173+J173+N173+R173</f>
        <v>340871.73000000004</v>
      </c>
      <c r="W173" s="201">
        <f t="shared" si="9"/>
        <v>334510.23000000004</v>
      </c>
      <c r="X173" s="201">
        <f t="shared" si="9"/>
        <v>6361.5</v>
      </c>
    </row>
    <row r="174" spans="1:33" s="153" customFormat="1" ht="11.25" x14ac:dyDescent="0.2">
      <c r="A174" s="620" t="s">
        <v>10</v>
      </c>
      <c r="B174" s="620"/>
      <c r="C174" s="620"/>
      <c r="D174" s="276"/>
      <c r="E174" s="194"/>
      <c r="F174" s="201">
        <v>123041.11</v>
      </c>
      <c r="G174" s="201">
        <v>121941.16</v>
      </c>
      <c r="H174" s="201">
        <v>1099.9499999999998</v>
      </c>
      <c r="I174" s="194"/>
      <c r="J174" s="201"/>
      <c r="K174" s="201"/>
      <c r="L174" s="201"/>
      <c r="M174" s="194"/>
      <c r="N174" s="201">
        <v>36251.42</v>
      </c>
      <c r="O174" s="201">
        <v>36251.42</v>
      </c>
      <c r="P174" s="201">
        <v>0</v>
      </c>
      <c r="Q174" s="194"/>
      <c r="R174" s="201">
        <v>11266.39</v>
      </c>
      <c r="S174" s="201">
        <v>11266.39</v>
      </c>
      <c r="T174" s="201">
        <v>0</v>
      </c>
      <c r="U174" s="194"/>
      <c r="V174" s="201">
        <f t="shared" si="9"/>
        <v>170558.91999999998</v>
      </c>
      <c r="W174" s="201">
        <f t="shared" si="9"/>
        <v>169458.97000000003</v>
      </c>
      <c r="X174" s="201">
        <f t="shared" si="9"/>
        <v>1099.9499999999998</v>
      </c>
      <c r="Y174" s="163"/>
    </row>
    <row r="175" spans="1:33" s="153" customFormat="1" ht="11.25" x14ac:dyDescent="0.2">
      <c r="A175" s="620" t="s">
        <v>11</v>
      </c>
      <c r="B175" s="620"/>
      <c r="C175" s="620"/>
      <c r="D175" s="276"/>
      <c r="E175" s="194"/>
      <c r="F175" s="201">
        <v>81888.680000000008</v>
      </c>
      <c r="G175" s="201">
        <v>80068.14</v>
      </c>
      <c r="H175" s="201">
        <v>1820.54</v>
      </c>
      <c r="I175" s="194"/>
      <c r="J175" s="201"/>
      <c r="K175" s="201"/>
      <c r="L175" s="201"/>
      <c r="M175" s="194"/>
      <c r="N175" s="201">
        <v>43097.17</v>
      </c>
      <c r="O175" s="201">
        <v>43092.75</v>
      </c>
      <c r="P175" s="201">
        <v>4.42</v>
      </c>
      <c r="Q175" s="194"/>
      <c r="R175" s="201">
        <v>4081.7</v>
      </c>
      <c r="S175" s="201">
        <v>4081.7</v>
      </c>
      <c r="T175" s="201">
        <v>0</v>
      </c>
      <c r="U175" s="194"/>
      <c r="V175" s="201">
        <f t="shared" si="9"/>
        <v>129067.55</v>
      </c>
      <c r="W175" s="201">
        <f t="shared" si="9"/>
        <v>127242.59</v>
      </c>
      <c r="X175" s="201">
        <f t="shared" si="9"/>
        <v>1824.96</v>
      </c>
      <c r="Y175" s="163"/>
    </row>
    <row r="176" spans="1:33" s="153" customFormat="1" ht="11.25" x14ac:dyDescent="0.2">
      <c r="A176" s="620" t="s">
        <v>12</v>
      </c>
      <c r="B176" s="620"/>
      <c r="C176" s="620"/>
      <c r="D176" s="276"/>
      <c r="E176" s="194"/>
      <c r="F176" s="201">
        <v>48036.569999999992</v>
      </c>
      <c r="G176" s="201">
        <v>40256.729999999996</v>
      </c>
      <c r="H176" s="201">
        <v>7779.84</v>
      </c>
      <c r="I176" s="194"/>
      <c r="J176" s="201"/>
      <c r="K176" s="201"/>
      <c r="L176" s="201"/>
      <c r="M176" s="194"/>
      <c r="N176" s="201">
        <v>55603.979999999996</v>
      </c>
      <c r="O176" s="201">
        <v>50589.289999999994</v>
      </c>
      <c r="P176" s="201">
        <v>5014.6899999999996</v>
      </c>
      <c r="Q176" s="194"/>
      <c r="R176" s="201">
        <v>1503.5900000000001</v>
      </c>
      <c r="S176" s="201">
        <v>1500.41</v>
      </c>
      <c r="T176" s="201">
        <v>3.18</v>
      </c>
      <c r="U176" s="194"/>
      <c r="V176" s="201">
        <f t="shared" si="9"/>
        <v>105144.13999999998</v>
      </c>
      <c r="W176" s="201">
        <f t="shared" si="9"/>
        <v>92346.43</v>
      </c>
      <c r="X176" s="201">
        <f t="shared" si="9"/>
        <v>12797.71</v>
      </c>
      <c r="Y176" s="163"/>
    </row>
    <row r="177" spans="1:25" s="153" customFormat="1" ht="11.25" x14ac:dyDescent="0.2">
      <c r="A177" s="112"/>
      <c r="B177" s="112"/>
      <c r="C177" s="112"/>
      <c r="D177" s="254"/>
      <c r="F177" s="170"/>
      <c r="G177" s="170"/>
      <c r="H177" s="170"/>
      <c r="J177" s="170"/>
      <c r="K177" s="170"/>
      <c r="L177" s="170"/>
      <c r="N177" s="170"/>
      <c r="O177" s="170"/>
      <c r="P177" s="170"/>
      <c r="R177" s="170"/>
      <c r="S177" s="170"/>
      <c r="T177" s="170"/>
      <c r="V177" s="170"/>
      <c r="W177" s="170"/>
      <c r="X177" s="170"/>
      <c r="Y177" s="163"/>
    </row>
    <row r="178" spans="1:25" x14ac:dyDescent="0.2">
      <c r="N178" s="138"/>
      <c r="O178" s="138"/>
      <c r="P178" s="138"/>
      <c r="V178" s="138"/>
      <c r="W178" s="138"/>
      <c r="X178" s="138"/>
    </row>
    <row r="179" spans="1:25" x14ac:dyDescent="0.2">
      <c r="A179" s="621" t="s">
        <v>8</v>
      </c>
      <c r="B179" s="622"/>
      <c r="C179" s="623"/>
      <c r="D179" s="207"/>
      <c r="E179" s="153"/>
      <c r="F179" s="209">
        <v>535021.84999999986</v>
      </c>
      <c r="G179" s="209">
        <v>513718.90980499989</v>
      </c>
      <c r="H179" s="209">
        <v>21302.940195000003</v>
      </c>
      <c r="I179" s="277"/>
      <c r="J179" s="209">
        <v>98177.930000000008</v>
      </c>
      <c r="K179" s="209"/>
      <c r="L179" s="209"/>
      <c r="M179" s="277"/>
      <c r="N179" s="209">
        <v>183191.00199999998</v>
      </c>
      <c r="O179" s="209">
        <v>177158.80199999997</v>
      </c>
      <c r="P179" s="209">
        <v>6032.17</v>
      </c>
      <c r="Q179" s="153"/>
      <c r="R179" s="209">
        <v>35197.793999999994</v>
      </c>
      <c r="S179" s="209">
        <v>35100.563999999998</v>
      </c>
      <c r="T179" s="209">
        <v>97.22999999999999</v>
      </c>
      <c r="U179" s="153"/>
      <c r="V179" s="209">
        <f>F179+J179+N179+R179-J179</f>
        <v>753410.64599999983</v>
      </c>
      <c r="W179" s="209">
        <f>G179+K179+O179+S179</f>
        <v>725978.27580499987</v>
      </c>
      <c r="X179" s="209">
        <f>H179+L179+P179+T179</f>
        <v>27432.340195000001</v>
      </c>
      <c r="Y179" s="163"/>
    </row>
    <row r="180" spans="1:25" x14ac:dyDescent="0.2">
      <c r="A180" s="208"/>
      <c r="B180" s="208" t="s">
        <v>574</v>
      </c>
      <c r="C180" s="208"/>
      <c r="D180" s="207"/>
      <c r="E180" s="153"/>
      <c r="F180" s="278"/>
      <c r="G180" s="278"/>
      <c r="H180" s="279"/>
      <c r="I180" s="208"/>
      <c r="J180" s="278"/>
      <c r="K180" s="278"/>
      <c r="L180" s="278"/>
      <c r="M180" s="208"/>
      <c r="N180" s="278"/>
      <c r="O180" s="278"/>
      <c r="P180" s="278"/>
      <c r="Q180" s="153"/>
      <c r="R180" s="278"/>
      <c r="S180" s="278"/>
      <c r="T180" s="278"/>
      <c r="U180" s="153"/>
      <c r="V180" s="278"/>
      <c r="W180" s="278"/>
      <c r="X180" s="278"/>
    </row>
    <row r="181" spans="1:25" x14ac:dyDescent="0.2">
      <c r="A181" s="608" t="s">
        <v>9</v>
      </c>
      <c r="B181" s="608"/>
      <c r="C181" s="608"/>
      <c r="D181" s="214"/>
      <c r="E181" s="153"/>
      <c r="F181" s="214">
        <v>298638.07999999996</v>
      </c>
      <c r="G181" s="214">
        <v>283266.56339999998</v>
      </c>
      <c r="H181" s="214">
        <v>15371.516599999999</v>
      </c>
      <c r="I181" s="208"/>
      <c r="J181" s="214"/>
      <c r="K181" s="214"/>
      <c r="L181" s="214"/>
      <c r="M181" s="208"/>
      <c r="N181" s="214">
        <v>19032.879999999997</v>
      </c>
      <c r="O181" s="214">
        <v>19032.879999999997</v>
      </c>
      <c r="P181" s="214">
        <v>0</v>
      </c>
      <c r="Q181" s="153"/>
      <c r="R181" s="214">
        <v>8468.7900000000009</v>
      </c>
      <c r="S181" s="214">
        <v>8378.7900000000009</v>
      </c>
      <c r="T181" s="214">
        <v>90</v>
      </c>
      <c r="U181" s="153"/>
      <c r="V181" s="214">
        <f t="shared" ref="V181:X184" si="10">F181+J181+N181+R181</f>
        <v>326139.74999999994</v>
      </c>
      <c r="W181" s="214">
        <f t="shared" si="10"/>
        <v>310678.23339999997</v>
      </c>
      <c r="X181" s="214">
        <f t="shared" si="10"/>
        <v>15461.516599999999</v>
      </c>
      <c r="Y181" s="163"/>
    </row>
    <row r="182" spans="1:25" x14ac:dyDescent="0.2">
      <c r="A182" s="608" t="s">
        <v>10</v>
      </c>
      <c r="B182" s="608"/>
      <c r="C182" s="608"/>
      <c r="D182" s="280"/>
      <c r="E182" s="153"/>
      <c r="F182" s="214">
        <v>122550.7</v>
      </c>
      <c r="G182" s="214">
        <v>121061.5904</v>
      </c>
      <c r="H182" s="214">
        <v>1489.1096000000002</v>
      </c>
      <c r="I182" s="208"/>
      <c r="J182" s="214"/>
      <c r="K182" s="214"/>
      <c r="L182" s="214"/>
      <c r="M182" s="208"/>
      <c r="N182" s="214">
        <v>46657.75</v>
      </c>
      <c r="O182" s="214">
        <v>44365.72</v>
      </c>
      <c r="P182" s="214">
        <v>2292</v>
      </c>
      <c r="Q182" s="153"/>
      <c r="R182" s="214">
        <v>17901.080000000002</v>
      </c>
      <c r="S182" s="214">
        <v>17901.080000000002</v>
      </c>
      <c r="T182" s="214">
        <v>0</v>
      </c>
      <c r="U182" s="153"/>
      <c r="V182" s="214">
        <f t="shared" si="10"/>
        <v>187109.53000000003</v>
      </c>
      <c r="W182" s="214">
        <f t="shared" si="10"/>
        <v>183328.39040000003</v>
      </c>
      <c r="X182" s="214">
        <f t="shared" si="10"/>
        <v>3781.1096000000002</v>
      </c>
      <c r="Y182" s="163"/>
    </row>
    <row r="183" spans="1:25" x14ac:dyDescent="0.2">
      <c r="A183" s="608" t="s">
        <v>11</v>
      </c>
      <c r="B183" s="608"/>
      <c r="C183" s="608"/>
      <c r="D183" s="280"/>
      <c r="E183" s="153"/>
      <c r="F183" s="214">
        <v>72195.210000000006</v>
      </c>
      <c r="G183" s="214">
        <v>69206.34041200002</v>
      </c>
      <c r="H183" s="214">
        <v>2988.8695879999996</v>
      </c>
      <c r="I183" s="208"/>
      <c r="J183" s="214"/>
      <c r="K183" s="214"/>
      <c r="L183" s="214"/>
      <c r="M183" s="208"/>
      <c r="N183" s="214">
        <v>47069.209999999992</v>
      </c>
      <c r="O183" s="214">
        <v>45866.899999999994</v>
      </c>
      <c r="P183" s="214">
        <v>1202.31</v>
      </c>
      <c r="Q183" s="153"/>
      <c r="R183" s="214">
        <v>3038.14</v>
      </c>
      <c r="S183" s="214">
        <v>3038.14</v>
      </c>
      <c r="T183" s="214">
        <v>0</v>
      </c>
      <c r="U183" s="153"/>
      <c r="V183" s="214">
        <f t="shared" si="10"/>
        <v>122302.56</v>
      </c>
      <c r="W183" s="214">
        <f t="shared" si="10"/>
        <v>118111.38041200001</v>
      </c>
      <c r="X183" s="214">
        <f t="shared" si="10"/>
        <v>4191.1795879999991</v>
      </c>
      <c r="Y183" s="163"/>
    </row>
    <row r="184" spans="1:25" x14ac:dyDescent="0.2">
      <c r="A184" s="608" t="s">
        <v>12</v>
      </c>
      <c r="B184" s="608"/>
      <c r="C184" s="608"/>
      <c r="D184" s="280"/>
      <c r="E184" s="153"/>
      <c r="F184" s="214">
        <v>41637.860000000008</v>
      </c>
      <c r="G184" s="214">
        <v>40184.415593000005</v>
      </c>
      <c r="H184" s="214">
        <v>1453.4444069999997</v>
      </c>
      <c r="I184" s="208"/>
      <c r="J184" s="214"/>
      <c r="K184" s="214"/>
      <c r="L184" s="214"/>
      <c r="M184" s="208"/>
      <c r="N184" s="214">
        <v>70431.161999999997</v>
      </c>
      <c r="O184" s="214">
        <v>67893.301999999996</v>
      </c>
      <c r="P184" s="214">
        <v>2537.86</v>
      </c>
      <c r="Q184" s="153"/>
      <c r="R184" s="214">
        <v>5789.7840000000006</v>
      </c>
      <c r="S184" s="214">
        <v>5782.5540000000001</v>
      </c>
      <c r="T184" s="214">
        <v>7.23</v>
      </c>
      <c r="U184" s="153"/>
      <c r="V184" s="214">
        <f t="shared" si="10"/>
        <v>117858.806</v>
      </c>
      <c r="W184" s="214">
        <f t="shared" si="10"/>
        <v>113860.27159300001</v>
      </c>
      <c r="X184" s="214">
        <f t="shared" si="10"/>
        <v>3998.5344069999996</v>
      </c>
      <c r="Y184" s="163"/>
    </row>
    <row r="185" spans="1:25" x14ac:dyDescent="0.2">
      <c r="N185" s="138"/>
      <c r="O185" s="138"/>
      <c r="P185" s="138"/>
      <c r="V185" s="138"/>
      <c r="W185" s="138"/>
      <c r="X185" s="138"/>
    </row>
    <row r="186" spans="1:25" x14ac:dyDescent="0.2">
      <c r="A186" s="609" t="s">
        <v>8</v>
      </c>
      <c r="B186" s="610"/>
      <c r="C186" s="611"/>
      <c r="F186" s="217">
        <v>476439.74999999994</v>
      </c>
      <c r="G186" s="217">
        <v>455905.73829999991</v>
      </c>
      <c r="H186" s="217">
        <v>20534.441699999999</v>
      </c>
      <c r="I186" s="281"/>
      <c r="J186" s="217">
        <v>86145.58</v>
      </c>
      <c r="K186" s="217"/>
      <c r="L186" s="217"/>
      <c r="M186" s="281"/>
      <c r="N186" s="217">
        <v>161046.51</v>
      </c>
      <c r="O186" s="217">
        <v>156816.43000000002</v>
      </c>
      <c r="P186" s="217">
        <v>4230.08</v>
      </c>
      <c r="R186" s="217">
        <v>23743.64</v>
      </c>
      <c r="S186" s="217">
        <v>23692.6</v>
      </c>
      <c r="T186" s="217">
        <v>51.04</v>
      </c>
      <c r="V186" s="217">
        <f>F186+J186+N186+R186-J186</f>
        <v>661229.9</v>
      </c>
      <c r="W186" s="217">
        <f>G186+K186+O186+S186</f>
        <v>636414.76829999988</v>
      </c>
      <c r="X186" s="217">
        <f>H186+L186+P186+T186</f>
        <v>24815.561699999998</v>
      </c>
    </row>
    <row r="187" spans="1:25" x14ac:dyDescent="0.2">
      <c r="A187" s="216"/>
      <c r="B187" s="216" t="s">
        <v>575</v>
      </c>
      <c r="C187" s="216"/>
      <c r="F187" s="138"/>
      <c r="G187" s="138"/>
      <c r="H187" s="138"/>
      <c r="J187" s="138"/>
      <c r="K187" s="138"/>
      <c r="L187" s="138"/>
      <c r="N187" s="138"/>
      <c r="O187" s="138"/>
      <c r="P187" s="138"/>
      <c r="V187" s="138"/>
      <c r="W187" s="138"/>
      <c r="X187" s="138"/>
    </row>
    <row r="188" spans="1:25" x14ac:dyDescent="0.2">
      <c r="A188" s="612" t="s">
        <v>9</v>
      </c>
      <c r="B188" s="612"/>
      <c r="C188" s="612"/>
      <c r="F188" s="221">
        <v>276210.03999999998</v>
      </c>
      <c r="G188" s="221">
        <v>262014.85549999995</v>
      </c>
      <c r="H188" s="221">
        <v>14195.404500000002</v>
      </c>
      <c r="I188" s="216"/>
      <c r="J188" s="221"/>
      <c r="K188" s="221"/>
      <c r="L188" s="221"/>
      <c r="M188" s="216"/>
      <c r="N188" s="221">
        <v>14509.7</v>
      </c>
      <c r="O188" s="221">
        <v>14509.7</v>
      </c>
      <c r="P188" s="221">
        <v>0</v>
      </c>
      <c r="R188" s="221">
        <v>11657.119999999999</v>
      </c>
      <c r="S188" s="221">
        <v>11617.119999999999</v>
      </c>
      <c r="T188" s="221">
        <v>40</v>
      </c>
      <c r="V188" s="221">
        <f t="shared" ref="V188:X191" si="11">F188+J188+N188+R188</f>
        <v>302376.86</v>
      </c>
      <c r="W188" s="221">
        <f t="shared" si="11"/>
        <v>288141.67549999995</v>
      </c>
      <c r="X188" s="221">
        <f t="shared" si="11"/>
        <v>14235.404500000002</v>
      </c>
    </row>
    <row r="189" spans="1:25" x14ac:dyDescent="0.2">
      <c r="A189" s="612" t="s">
        <v>10</v>
      </c>
      <c r="B189" s="612"/>
      <c r="C189" s="612"/>
      <c r="F189" s="221">
        <v>104009.75</v>
      </c>
      <c r="G189" s="221">
        <v>102915.16</v>
      </c>
      <c r="H189" s="221">
        <v>1094.6100000000001</v>
      </c>
      <c r="I189" s="216"/>
      <c r="J189" s="221"/>
      <c r="K189" s="221"/>
      <c r="L189" s="221"/>
      <c r="M189" s="216"/>
      <c r="N189" s="221">
        <v>41402.400000000001</v>
      </c>
      <c r="O189" s="221">
        <v>41402.400000000001</v>
      </c>
      <c r="P189" s="221">
        <v>0</v>
      </c>
      <c r="R189" s="221">
        <v>8813.7000000000007</v>
      </c>
      <c r="S189" s="221">
        <v>8813.7000000000007</v>
      </c>
      <c r="T189" s="221">
        <v>0</v>
      </c>
      <c r="V189" s="221">
        <f t="shared" si="11"/>
        <v>154225.85</v>
      </c>
      <c r="W189" s="221">
        <f t="shared" si="11"/>
        <v>153131.26</v>
      </c>
      <c r="X189" s="221">
        <f t="shared" si="11"/>
        <v>1094.6100000000001</v>
      </c>
    </row>
    <row r="190" spans="1:25" x14ac:dyDescent="0.2">
      <c r="A190" s="612" t="s">
        <v>11</v>
      </c>
      <c r="B190" s="612"/>
      <c r="C190" s="612"/>
      <c r="F190" s="221">
        <v>63537.630000000005</v>
      </c>
      <c r="G190" s="221">
        <v>61119.892800000001</v>
      </c>
      <c r="H190" s="221">
        <v>2417.7972</v>
      </c>
      <c r="I190" s="216"/>
      <c r="J190" s="221"/>
      <c r="K190" s="221"/>
      <c r="L190" s="221"/>
      <c r="M190" s="216"/>
      <c r="N190" s="221">
        <v>45025.5</v>
      </c>
      <c r="O190" s="221">
        <v>43737.16</v>
      </c>
      <c r="P190" s="221">
        <v>1288.3400000000001</v>
      </c>
      <c r="R190" s="221">
        <v>2762.86</v>
      </c>
      <c r="S190" s="221">
        <v>2762.86</v>
      </c>
      <c r="T190" s="221">
        <v>0</v>
      </c>
      <c r="V190" s="221">
        <f t="shared" si="11"/>
        <v>111325.99</v>
      </c>
      <c r="W190" s="221">
        <f t="shared" si="11"/>
        <v>107619.91280000001</v>
      </c>
      <c r="X190" s="221">
        <f t="shared" si="11"/>
        <v>3706.1372000000001</v>
      </c>
    </row>
    <row r="191" spans="1:25" x14ac:dyDescent="0.2">
      <c r="A191" s="612" t="s">
        <v>12</v>
      </c>
      <c r="B191" s="612"/>
      <c r="C191" s="612"/>
      <c r="F191" s="221">
        <v>32682.329999999998</v>
      </c>
      <c r="G191" s="221">
        <v>29855.83</v>
      </c>
      <c r="H191" s="221">
        <v>2826.63</v>
      </c>
      <c r="I191" s="216"/>
      <c r="J191" s="221"/>
      <c r="K191" s="221"/>
      <c r="L191" s="221"/>
      <c r="M191" s="216"/>
      <c r="N191" s="221">
        <v>60108.91</v>
      </c>
      <c r="O191" s="221">
        <v>57167.17</v>
      </c>
      <c r="P191" s="221">
        <v>2941.74</v>
      </c>
      <c r="R191" s="221">
        <v>509.96</v>
      </c>
      <c r="S191" s="221">
        <v>498.92</v>
      </c>
      <c r="T191" s="221">
        <v>11.04</v>
      </c>
      <c r="V191" s="221">
        <f t="shared" si="11"/>
        <v>93301.200000000012</v>
      </c>
      <c r="W191" s="221">
        <f t="shared" si="11"/>
        <v>87521.919999999998</v>
      </c>
      <c r="X191" s="221">
        <f t="shared" si="11"/>
        <v>5779.41</v>
      </c>
    </row>
    <row r="193" spans="6:10" x14ac:dyDescent="0.2">
      <c r="F193" s="544"/>
      <c r="J193" s="544"/>
    </row>
  </sheetData>
  <mergeCells count="48">
    <mergeCell ref="A139:C139"/>
    <mergeCell ref="A1:X1"/>
    <mergeCell ref="F3:H3"/>
    <mergeCell ref="J3:L3"/>
    <mergeCell ref="N3:P3"/>
    <mergeCell ref="R3:T3"/>
    <mergeCell ref="V3:X3"/>
    <mergeCell ref="Z3:AB3"/>
    <mergeCell ref="A134:C134"/>
    <mergeCell ref="A135:C135"/>
    <mergeCell ref="A137:C137"/>
    <mergeCell ref="A138:C138"/>
    <mergeCell ref="A156:C156"/>
    <mergeCell ref="A140:C140"/>
    <mergeCell ref="A142:C142"/>
    <mergeCell ref="A144:C144"/>
    <mergeCell ref="A145:C145"/>
    <mergeCell ref="A146:C146"/>
    <mergeCell ref="A147:C147"/>
    <mergeCell ref="A149:C149"/>
    <mergeCell ref="A151:C151"/>
    <mergeCell ref="A152:C152"/>
    <mergeCell ref="A153:C153"/>
    <mergeCell ref="A154:C154"/>
    <mergeCell ref="A174:C174"/>
    <mergeCell ref="A158:C158"/>
    <mergeCell ref="A159:C159"/>
    <mergeCell ref="A160:C160"/>
    <mergeCell ref="A161:C161"/>
    <mergeCell ref="A164:C164"/>
    <mergeCell ref="A166:C166"/>
    <mergeCell ref="A167:C167"/>
    <mergeCell ref="A168:C168"/>
    <mergeCell ref="A169:C169"/>
    <mergeCell ref="A171:C171"/>
    <mergeCell ref="A173:C173"/>
    <mergeCell ref="A191:C191"/>
    <mergeCell ref="A175:C175"/>
    <mergeCell ref="A176:C176"/>
    <mergeCell ref="A179:C179"/>
    <mergeCell ref="A181:C181"/>
    <mergeCell ref="A182:C182"/>
    <mergeCell ref="A183:C183"/>
    <mergeCell ref="A184:C184"/>
    <mergeCell ref="A186:C186"/>
    <mergeCell ref="A188:C188"/>
    <mergeCell ref="A189:C189"/>
    <mergeCell ref="A190:C190"/>
  </mergeCells>
  <hyperlinks>
    <hyperlink ref="C163" r:id="rId1" xr:uid="{2ACB467C-2F88-4F23-834D-D6C0A5C4768F}"/>
    <hyperlink ref="D63" location="'2009-10'!A160" display="Bottom" xr:uid="{7C406816-334A-45AD-A834-E448A88A34A2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B8F9-6992-4E4F-9BA6-C46C5E8C6F41}">
  <dimension ref="A1:BG203"/>
  <sheetViews>
    <sheetView workbookViewId="0">
      <pane xSplit="3" ySplit="4" topLeftCell="D119" activePane="bottomRight" state="frozen"/>
      <selection pane="topRight" activeCell="D1" sqref="D1"/>
      <selection pane="bottomLeft" activeCell="A5" sqref="A5"/>
      <selection pane="bottomRight" activeCell="AA134" sqref="AA134"/>
    </sheetView>
  </sheetViews>
  <sheetFormatPr defaultRowHeight="12.75" x14ac:dyDescent="0.2"/>
  <cols>
    <col min="1" max="1" width="5.28515625" bestFit="1" customWidth="1"/>
    <col min="2" max="2" width="26" bestFit="1" customWidth="1"/>
    <col min="3" max="3" width="13.5703125" bestFit="1" customWidth="1"/>
    <col min="4" max="4" width="3" style="422" bestFit="1" customWidth="1"/>
    <col min="5" max="5" width="0.85546875" customWidth="1"/>
    <col min="6" max="6" width="10.42578125" style="5" bestFit="1" customWidth="1"/>
    <col min="7" max="7" width="10.5703125" style="5" bestFit="1" customWidth="1"/>
    <col min="8" max="8" width="11.42578125" style="5" bestFit="1" customWidth="1"/>
    <col min="9" max="9" width="0.85546875" customWidth="1"/>
    <col min="10" max="10" width="8.42578125" bestFit="1" customWidth="1"/>
    <col min="11" max="11" width="9.7109375" bestFit="1" customWidth="1"/>
    <col min="12" max="12" width="0.85546875" customWidth="1"/>
    <col min="13" max="14" width="8.42578125" style="5" bestFit="1" customWidth="1"/>
    <col min="15" max="15" width="0.85546875" customWidth="1"/>
    <col min="16" max="17" width="8.42578125" style="5" customWidth="1"/>
    <col min="18" max="18" width="8.42578125" style="5" bestFit="1" customWidth="1"/>
    <col min="19" max="19" width="0.85546875" customWidth="1"/>
    <col min="20" max="21" width="8.42578125" bestFit="1" customWidth="1"/>
    <col min="22" max="22" width="0.85546875" customWidth="1"/>
    <col min="23" max="24" width="8.42578125" customWidth="1"/>
    <col min="25" max="25" width="8.7109375" bestFit="1" customWidth="1"/>
    <col min="26" max="26" width="0.85546875" customWidth="1"/>
    <col min="27" max="27" width="9.5703125" customWidth="1"/>
    <col min="28" max="28" width="0.85546875" customWidth="1"/>
    <col min="29" max="29" width="9.5703125" bestFit="1" customWidth="1"/>
    <col min="30" max="30" width="8.28515625" bestFit="1" customWidth="1"/>
    <col min="31" max="31" width="9" bestFit="1" customWidth="1"/>
    <col min="32" max="33" width="8.42578125" bestFit="1" customWidth="1"/>
    <col min="35" max="37" width="8.42578125" style="138" customWidth="1"/>
  </cols>
  <sheetData>
    <row r="1" spans="1:59" s="237" customFormat="1" ht="15.75" x14ac:dyDescent="0.25">
      <c r="A1" s="684" t="s">
        <v>727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5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s="241" customFormat="1" ht="15.75" x14ac:dyDescent="0.25">
      <c r="A2" s="477"/>
      <c r="B2" s="477"/>
      <c r="C2" s="477"/>
      <c r="D2" s="477"/>
      <c r="E2" s="477"/>
      <c r="F2" s="477"/>
      <c r="G2" s="477"/>
      <c r="H2" s="47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ht="15.75" customHeight="1" x14ac:dyDescent="0.25">
      <c r="A3" s="477"/>
      <c r="B3" s="239" t="s">
        <v>181</v>
      </c>
      <c r="C3" s="477"/>
      <c r="D3" s="477"/>
      <c r="E3" s="478"/>
      <c r="F3" s="658" t="s">
        <v>728</v>
      </c>
      <c r="G3" s="659"/>
      <c r="H3" s="659"/>
      <c r="I3" s="352"/>
      <c r="J3" s="686" t="s">
        <v>729</v>
      </c>
      <c r="K3" s="687"/>
      <c r="L3" s="352"/>
      <c r="M3" s="686" t="s">
        <v>730</v>
      </c>
      <c r="N3" s="688"/>
      <c r="O3" s="688"/>
      <c r="P3" s="688"/>
      <c r="Q3" s="688"/>
      <c r="R3" s="688"/>
      <c r="S3" s="352"/>
      <c r="T3" s="686" t="s">
        <v>731</v>
      </c>
      <c r="U3" s="688"/>
      <c r="V3" s="688"/>
      <c r="W3" s="688"/>
      <c r="X3" s="688"/>
      <c r="Y3" s="688"/>
      <c r="Z3" s="352"/>
      <c r="AA3" s="689" t="s">
        <v>732</v>
      </c>
      <c r="AB3" s="352"/>
      <c r="AC3" s="658" t="s">
        <v>733</v>
      </c>
      <c r="AD3" s="659"/>
      <c r="AE3" s="659"/>
      <c r="AI3" s="657" t="s">
        <v>734</v>
      </c>
      <c r="AJ3" s="657"/>
      <c r="AK3" s="657"/>
    </row>
    <row r="4" spans="1:59" ht="34.5" x14ac:dyDescent="0.25">
      <c r="A4" s="7" t="s">
        <v>39</v>
      </c>
      <c r="B4" s="33" t="s">
        <v>40</v>
      </c>
      <c r="C4" s="32" t="s">
        <v>735</v>
      </c>
      <c r="D4" s="34" t="s">
        <v>5</v>
      </c>
      <c r="E4" s="479"/>
      <c r="F4" s="480" t="s">
        <v>611</v>
      </c>
      <c r="G4" s="481" t="s">
        <v>736</v>
      </c>
      <c r="H4" s="481" t="s">
        <v>613</v>
      </c>
      <c r="I4" s="477"/>
      <c r="J4" s="481" t="s">
        <v>737</v>
      </c>
      <c r="K4" s="481" t="s">
        <v>738</v>
      </c>
      <c r="L4" s="477"/>
      <c r="M4" s="481" t="s">
        <v>739</v>
      </c>
      <c r="N4" s="481" t="s">
        <v>740</v>
      </c>
      <c r="O4" s="482"/>
      <c r="P4" s="481" t="s">
        <v>741</v>
      </c>
      <c r="Q4" s="481" t="s">
        <v>742</v>
      </c>
      <c r="R4" s="481" t="s">
        <v>743</v>
      </c>
      <c r="S4" s="482"/>
      <c r="T4" s="481" t="s">
        <v>739</v>
      </c>
      <c r="U4" s="481" t="s">
        <v>740</v>
      </c>
      <c r="V4" s="477"/>
      <c r="W4" s="481" t="s">
        <v>741</v>
      </c>
      <c r="X4" s="481" t="s">
        <v>742</v>
      </c>
      <c r="Y4" s="481" t="s">
        <v>743</v>
      </c>
      <c r="Z4" s="477"/>
      <c r="AA4" s="690"/>
      <c r="AB4" s="482"/>
      <c r="AC4" s="480" t="s">
        <v>611</v>
      </c>
      <c r="AD4" s="483" t="s">
        <v>744</v>
      </c>
      <c r="AE4" s="481" t="s">
        <v>743</v>
      </c>
      <c r="AF4" s="481" t="s">
        <v>745</v>
      </c>
      <c r="AG4" s="481" t="s">
        <v>740</v>
      </c>
      <c r="AI4" s="481" t="s">
        <v>586</v>
      </c>
      <c r="AJ4" s="481" t="s">
        <v>587</v>
      </c>
      <c r="AK4" s="481" t="s">
        <v>588</v>
      </c>
    </row>
    <row r="5" spans="1:59" x14ac:dyDescent="0.2">
      <c r="A5" s="9">
        <v>10050</v>
      </c>
      <c r="B5" s="9" t="s">
        <v>78</v>
      </c>
      <c r="C5" s="9" t="s">
        <v>73</v>
      </c>
      <c r="D5" s="29" t="s">
        <v>1</v>
      </c>
      <c r="E5" s="347"/>
      <c r="F5" s="1">
        <v>7117.6</v>
      </c>
      <c r="G5" s="1">
        <v>0</v>
      </c>
      <c r="H5" s="1">
        <v>7117.6</v>
      </c>
      <c r="I5" s="484"/>
      <c r="J5" s="1">
        <f>'[1]App 4-Recyclables'!H5</f>
        <v>348.54</v>
      </c>
      <c r="K5" s="1">
        <f>'[1]App 5-Organics'!H5+'[1]App 5-Organics'!L5</f>
        <v>35</v>
      </c>
      <c r="L5" s="485"/>
      <c r="M5" s="1">
        <f>'[1]App 4-Recyclables'!P5</f>
        <v>0</v>
      </c>
      <c r="N5" s="1">
        <f>'[1]App 5-Organics'!P5</f>
        <v>0</v>
      </c>
      <c r="O5" s="484"/>
      <c r="P5" s="1">
        <v>4410.8399999999992</v>
      </c>
      <c r="Q5" s="1">
        <v>164</v>
      </c>
      <c r="R5" s="1">
        <v>4246.8399999999992</v>
      </c>
      <c r="S5" s="484"/>
      <c r="T5" s="1">
        <f>'[1]App 4-Recyclables'!T5</f>
        <v>0</v>
      </c>
      <c r="U5" s="1">
        <f>'[1]App 5-Organics'!T5</f>
        <v>0</v>
      </c>
      <c r="V5" s="484"/>
      <c r="W5" s="1">
        <v>0</v>
      </c>
      <c r="X5" s="1">
        <v>0</v>
      </c>
      <c r="Y5" s="1">
        <v>0</v>
      </c>
      <c r="Z5" s="484"/>
      <c r="AA5" s="486">
        <f>H5+J5+K5+M5+N5+R5+T5+U5+Y5</f>
        <v>11747.98</v>
      </c>
      <c r="AB5" s="484"/>
      <c r="AC5" s="487">
        <f>F5+P5+W5</f>
        <v>11528.439999999999</v>
      </c>
      <c r="AD5" s="487">
        <f>G5+Q5+X5</f>
        <v>164</v>
      </c>
      <c r="AE5" s="487">
        <f>H5+R5+Y5</f>
        <v>11364.439999999999</v>
      </c>
      <c r="AF5" s="487">
        <f>J5+M5+T5</f>
        <v>348.54</v>
      </c>
      <c r="AG5" s="487">
        <f t="shared" ref="AG5:AG68" si="0">K5+N5+U5</f>
        <v>35</v>
      </c>
      <c r="AH5" s="4"/>
      <c r="AI5" s="247">
        <v>1581.21</v>
      </c>
      <c r="AJ5" s="247">
        <v>0</v>
      </c>
      <c r="AK5" s="247">
        <v>1581.21</v>
      </c>
    </row>
    <row r="6" spans="1:59" x14ac:dyDescent="0.2">
      <c r="A6" s="8">
        <v>10130</v>
      </c>
      <c r="B6" s="8" t="s">
        <v>79</v>
      </c>
      <c r="C6" s="8" t="s">
        <v>17</v>
      </c>
      <c r="D6" s="29" t="s">
        <v>1</v>
      </c>
      <c r="E6" s="347"/>
      <c r="F6" s="1">
        <v>5152.8999999999996</v>
      </c>
      <c r="G6" s="1">
        <v>0</v>
      </c>
      <c r="H6" s="1">
        <v>5152.8999999999996</v>
      </c>
      <c r="I6" s="484"/>
      <c r="J6" s="1">
        <f>'[1]App 4-Recyclables'!H6</f>
        <v>66.599999999999994</v>
      </c>
      <c r="K6" s="1">
        <f>'[1]App 5-Organics'!H6+'[1]App 5-Organics'!L6</f>
        <v>30.65</v>
      </c>
      <c r="L6" s="485"/>
      <c r="M6" s="1">
        <f>'[1]App 4-Recyclables'!P6</f>
        <v>27.1</v>
      </c>
      <c r="N6" s="1">
        <f>'[1]App 5-Organics'!P6</f>
        <v>0</v>
      </c>
      <c r="O6" s="484"/>
      <c r="P6" s="1">
        <v>6072.1</v>
      </c>
      <c r="Q6" s="1">
        <v>613.5</v>
      </c>
      <c r="R6" s="1">
        <v>5458.6</v>
      </c>
      <c r="S6" s="484"/>
      <c r="T6" s="1">
        <f>'[1]App 4-Recyclables'!T6</f>
        <v>0</v>
      </c>
      <c r="U6" s="1">
        <f>'[1]App 5-Organics'!T6</f>
        <v>0</v>
      </c>
      <c r="V6" s="484"/>
      <c r="W6" s="1">
        <v>0</v>
      </c>
      <c r="X6" s="1">
        <v>0</v>
      </c>
      <c r="Y6" s="1">
        <v>0</v>
      </c>
      <c r="Z6" s="484"/>
      <c r="AA6" s="486">
        <f t="shared" ref="AA6:AA69" si="1">H6+J6+K6+M6+N6+R6+T6+U6+Y6</f>
        <v>10735.85</v>
      </c>
      <c r="AB6" s="484"/>
      <c r="AC6" s="487">
        <f t="shared" ref="AC6:AE36" si="2">F6+P6+W6</f>
        <v>11225</v>
      </c>
      <c r="AD6" s="487">
        <f t="shared" si="2"/>
        <v>613.5</v>
      </c>
      <c r="AE6" s="487">
        <f t="shared" si="2"/>
        <v>10611.5</v>
      </c>
      <c r="AF6" s="487">
        <f t="shared" ref="AF6:AG69" si="3">J6+M6+T6</f>
        <v>93.699999999999989</v>
      </c>
      <c r="AG6" s="487">
        <f t="shared" si="0"/>
        <v>30.65</v>
      </c>
      <c r="AH6" s="4"/>
      <c r="AI6" s="247">
        <v>502.4</v>
      </c>
      <c r="AJ6" s="247">
        <v>0</v>
      </c>
      <c r="AK6" s="247">
        <v>502.4</v>
      </c>
    </row>
    <row r="7" spans="1:59" x14ac:dyDescent="0.2">
      <c r="A7" s="8">
        <v>10250</v>
      </c>
      <c r="B7" s="8" t="s">
        <v>80</v>
      </c>
      <c r="C7" s="8" t="s">
        <v>20</v>
      </c>
      <c r="D7" s="29" t="s">
        <v>4</v>
      </c>
      <c r="E7" s="347"/>
      <c r="F7" s="1">
        <v>8227.02</v>
      </c>
      <c r="G7" s="1">
        <v>0</v>
      </c>
      <c r="H7" s="1">
        <v>8227.02</v>
      </c>
      <c r="I7" s="484"/>
      <c r="J7" s="1">
        <f>'[1]App 4-Recyclables'!H7</f>
        <v>1246.26</v>
      </c>
      <c r="K7" s="1">
        <f>'[1]App 5-Organics'!H7+'[1]App 5-Organics'!L7</f>
        <v>0</v>
      </c>
      <c r="L7" s="485"/>
      <c r="M7" s="1">
        <f>'[1]App 4-Recyclables'!P7</f>
        <v>0</v>
      </c>
      <c r="N7" s="1">
        <f>'[1]App 5-Organics'!P7</f>
        <v>0</v>
      </c>
      <c r="O7" s="484"/>
      <c r="P7" s="1">
        <v>3265.99</v>
      </c>
      <c r="Q7" s="1">
        <v>310.2</v>
      </c>
      <c r="R7" s="1">
        <v>2955.79</v>
      </c>
      <c r="S7" s="484"/>
      <c r="T7" s="1">
        <f>'[1]App 4-Recyclables'!T7</f>
        <v>0</v>
      </c>
      <c r="U7" s="1">
        <f>'[1]App 5-Organics'!T7</f>
        <v>0</v>
      </c>
      <c r="V7" s="484"/>
      <c r="W7" s="1">
        <v>0</v>
      </c>
      <c r="X7" s="1">
        <v>0</v>
      </c>
      <c r="Y7" s="1">
        <v>0</v>
      </c>
      <c r="Z7" s="484"/>
      <c r="AA7" s="486">
        <f t="shared" si="1"/>
        <v>12429.07</v>
      </c>
      <c r="AB7" s="484"/>
      <c r="AC7" s="487">
        <f t="shared" si="2"/>
        <v>11493.01</v>
      </c>
      <c r="AD7" s="487">
        <f t="shared" si="2"/>
        <v>310.2</v>
      </c>
      <c r="AE7" s="487">
        <f t="shared" si="2"/>
        <v>11182.810000000001</v>
      </c>
      <c r="AF7" s="487">
        <f t="shared" si="3"/>
        <v>1246.26</v>
      </c>
      <c r="AG7" s="487">
        <f t="shared" si="0"/>
        <v>0</v>
      </c>
      <c r="AH7" s="4"/>
      <c r="AI7" s="247">
        <v>874.58</v>
      </c>
      <c r="AJ7" s="247">
        <v>0</v>
      </c>
      <c r="AK7" s="247">
        <v>874.58</v>
      </c>
    </row>
    <row r="8" spans="1:59" x14ac:dyDescent="0.2">
      <c r="A8" s="8">
        <v>10300</v>
      </c>
      <c r="B8" s="8" t="s">
        <v>81</v>
      </c>
      <c r="C8" s="8" t="s">
        <v>73</v>
      </c>
      <c r="D8" s="29" t="s">
        <v>1</v>
      </c>
      <c r="E8" s="347"/>
      <c r="F8" s="1">
        <v>575</v>
      </c>
      <c r="G8" s="1">
        <v>0</v>
      </c>
      <c r="H8" s="1">
        <v>575</v>
      </c>
      <c r="I8" s="484"/>
      <c r="J8" s="1">
        <f>'[1]App 4-Recyclables'!H8</f>
        <v>0</v>
      </c>
      <c r="K8" s="1">
        <f>'[1]App 5-Organics'!H8+'[1]App 5-Organics'!L8</f>
        <v>0</v>
      </c>
      <c r="L8" s="485"/>
      <c r="M8" s="1">
        <f>'[1]App 4-Recyclables'!P8</f>
        <v>0</v>
      </c>
      <c r="N8" s="1">
        <f>'[1]App 5-Organics'!P8</f>
        <v>0</v>
      </c>
      <c r="O8" s="484"/>
      <c r="P8" s="1">
        <v>0</v>
      </c>
      <c r="Q8" s="1">
        <v>0</v>
      </c>
      <c r="R8" s="1">
        <v>0</v>
      </c>
      <c r="S8" s="484"/>
      <c r="T8" s="1">
        <f>'[1]App 4-Recyclables'!T8</f>
        <v>0</v>
      </c>
      <c r="U8" s="1">
        <f>'[1]App 5-Organics'!T8</f>
        <v>0</v>
      </c>
      <c r="V8" s="484"/>
      <c r="W8" s="1">
        <v>50</v>
      </c>
      <c r="X8" s="1">
        <v>0</v>
      </c>
      <c r="Y8" s="1">
        <v>50</v>
      </c>
      <c r="Z8" s="484"/>
      <c r="AA8" s="486">
        <f t="shared" si="1"/>
        <v>625</v>
      </c>
      <c r="AB8" s="484"/>
      <c r="AC8" s="487">
        <f t="shared" si="2"/>
        <v>625</v>
      </c>
      <c r="AD8" s="487">
        <f t="shared" si="2"/>
        <v>0</v>
      </c>
      <c r="AE8" s="487">
        <f t="shared" si="2"/>
        <v>625</v>
      </c>
      <c r="AF8" s="487">
        <f t="shared" si="3"/>
        <v>0</v>
      </c>
      <c r="AG8" s="487">
        <f t="shared" si="0"/>
        <v>0</v>
      </c>
      <c r="AH8" s="4"/>
      <c r="AI8" s="247"/>
      <c r="AJ8" s="247"/>
      <c r="AK8" s="247"/>
    </row>
    <row r="9" spans="1:59" x14ac:dyDescent="0.2">
      <c r="A9" s="8">
        <v>10470</v>
      </c>
      <c r="B9" s="8" t="s">
        <v>82</v>
      </c>
      <c r="C9" s="8" t="s">
        <v>42</v>
      </c>
      <c r="D9" s="29" t="s">
        <v>1</v>
      </c>
      <c r="E9" s="347"/>
      <c r="F9" s="1">
        <v>10113</v>
      </c>
      <c r="G9" s="1">
        <v>0</v>
      </c>
      <c r="H9" s="1">
        <v>10113</v>
      </c>
      <c r="I9" s="484"/>
      <c r="J9" s="1">
        <f>'[1]App 4-Recyclables'!H9</f>
        <v>203.9</v>
      </c>
      <c r="K9" s="1">
        <f>'[1]App 5-Organics'!H9+'[1]App 5-Organics'!L9</f>
        <v>0</v>
      </c>
      <c r="L9" s="485"/>
      <c r="M9" s="1">
        <f>'[1]App 4-Recyclables'!P9</f>
        <v>0</v>
      </c>
      <c r="N9" s="1">
        <f>'[1]App 5-Organics'!P9</f>
        <v>56.2</v>
      </c>
      <c r="O9" s="484"/>
      <c r="P9" s="1">
        <v>10584.650000000001</v>
      </c>
      <c r="Q9" s="1">
        <v>94.4</v>
      </c>
      <c r="R9" s="1">
        <v>10490.25</v>
      </c>
      <c r="S9" s="484"/>
      <c r="T9" s="1">
        <f>'[1]App 4-Recyclables'!T9</f>
        <v>0</v>
      </c>
      <c r="U9" s="1">
        <f>'[1]App 5-Organics'!T9</f>
        <v>0</v>
      </c>
      <c r="V9" s="484"/>
      <c r="W9" s="1">
        <v>0</v>
      </c>
      <c r="X9" s="1">
        <v>0</v>
      </c>
      <c r="Y9" s="1">
        <v>0</v>
      </c>
      <c r="Z9" s="484"/>
      <c r="AA9" s="486">
        <f t="shared" si="1"/>
        <v>20863.349999999999</v>
      </c>
      <c r="AB9" s="484"/>
      <c r="AC9" s="487">
        <f t="shared" si="2"/>
        <v>20697.650000000001</v>
      </c>
      <c r="AD9" s="487">
        <f t="shared" si="2"/>
        <v>94.4</v>
      </c>
      <c r="AE9" s="487">
        <f t="shared" si="2"/>
        <v>20603.25</v>
      </c>
      <c r="AF9" s="487">
        <f t="shared" si="3"/>
        <v>203.9</v>
      </c>
      <c r="AG9" s="487">
        <f t="shared" si="0"/>
        <v>56.2</v>
      </c>
      <c r="AH9" s="4"/>
      <c r="AI9" s="247">
        <v>26477</v>
      </c>
      <c r="AJ9" s="247">
        <v>0</v>
      </c>
      <c r="AK9" s="247">
        <v>26477</v>
      </c>
    </row>
    <row r="10" spans="1:59" x14ac:dyDescent="0.2">
      <c r="A10" s="8">
        <v>10500</v>
      </c>
      <c r="B10" s="8" t="s">
        <v>23</v>
      </c>
      <c r="C10" s="8" t="s">
        <v>18</v>
      </c>
      <c r="D10" s="29" t="s">
        <v>3</v>
      </c>
      <c r="E10" s="347"/>
      <c r="F10" s="1">
        <v>44095</v>
      </c>
      <c r="G10" s="1">
        <v>16933</v>
      </c>
      <c r="H10" s="1">
        <v>27162</v>
      </c>
      <c r="I10" s="484"/>
      <c r="J10" s="1">
        <f>'[1]App 4-Recyclables'!H10</f>
        <v>1221</v>
      </c>
      <c r="K10" s="1">
        <f>'[1]App 5-Organics'!H10+'[1]App 5-Organics'!L10</f>
        <v>38</v>
      </c>
      <c r="L10" s="485"/>
      <c r="M10" s="1">
        <f>'[1]App 4-Recyclables'!P10</f>
        <v>11</v>
      </c>
      <c r="N10" s="1">
        <f>'[1]App 5-Organics'!P10</f>
        <v>0</v>
      </c>
      <c r="O10" s="484"/>
      <c r="P10" s="1">
        <v>19</v>
      </c>
      <c r="Q10" s="1">
        <v>18.95</v>
      </c>
      <c r="R10" s="1">
        <v>0.05</v>
      </c>
      <c r="S10" s="484"/>
      <c r="T10" s="1">
        <f>'[1]App 4-Recyclables'!T10</f>
        <v>56.3</v>
      </c>
      <c r="U10" s="1">
        <f>'[1]App 5-Organics'!T10</f>
        <v>0</v>
      </c>
      <c r="V10" s="484"/>
      <c r="W10" s="1">
        <v>9432</v>
      </c>
      <c r="X10" s="1">
        <v>4679</v>
      </c>
      <c r="Y10" s="1">
        <v>4753</v>
      </c>
      <c r="Z10" s="484"/>
      <c r="AA10" s="486">
        <f t="shared" si="1"/>
        <v>33241.35</v>
      </c>
      <c r="AB10" s="484"/>
      <c r="AC10" s="487">
        <f t="shared" si="2"/>
        <v>53546</v>
      </c>
      <c r="AD10" s="487">
        <f t="shared" si="2"/>
        <v>21630.95</v>
      </c>
      <c r="AE10" s="487">
        <f t="shared" si="2"/>
        <v>31915.05</v>
      </c>
      <c r="AF10" s="487">
        <f t="shared" si="3"/>
        <v>1288.3</v>
      </c>
      <c r="AG10" s="487">
        <f t="shared" si="0"/>
        <v>38</v>
      </c>
      <c r="AH10" s="4"/>
      <c r="AI10" s="247">
        <v>0</v>
      </c>
      <c r="AJ10" s="247">
        <v>0</v>
      </c>
      <c r="AK10" s="247">
        <v>0</v>
      </c>
    </row>
    <row r="11" spans="1:59" x14ac:dyDescent="0.2">
      <c r="A11" s="8">
        <v>10550</v>
      </c>
      <c r="B11" s="8" t="s">
        <v>83</v>
      </c>
      <c r="C11" s="8" t="s">
        <v>74</v>
      </c>
      <c r="D11" s="29" t="s">
        <v>1</v>
      </c>
      <c r="E11" s="347"/>
      <c r="F11" s="1">
        <v>7009</v>
      </c>
      <c r="G11" s="1">
        <v>0</v>
      </c>
      <c r="H11" s="1">
        <v>7009</v>
      </c>
      <c r="I11" s="484"/>
      <c r="J11" s="1">
        <f>'[1]App 4-Recyclables'!H11</f>
        <v>200</v>
      </c>
      <c r="K11" s="1">
        <f>'[1]App 5-Organics'!H11+'[1]App 5-Organics'!L11</f>
        <v>303</v>
      </c>
      <c r="L11" s="485"/>
      <c r="M11" s="1">
        <f>'[1]App 4-Recyclables'!P11</f>
        <v>0</v>
      </c>
      <c r="N11" s="1">
        <f>'[1]App 5-Organics'!P11</f>
        <v>0</v>
      </c>
      <c r="O11" s="484"/>
      <c r="P11" s="1">
        <v>4332.7</v>
      </c>
      <c r="Q11" s="488">
        <v>61.7</v>
      </c>
      <c r="R11" s="488">
        <v>4271</v>
      </c>
      <c r="S11" s="484"/>
      <c r="T11" s="1">
        <f>'[1]App 4-Recyclables'!T11</f>
        <v>0</v>
      </c>
      <c r="U11" s="1">
        <f>'[1]App 5-Organics'!T11</f>
        <v>0</v>
      </c>
      <c r="V11" s="484"/>
      <c r="W11" s="1">
        <v>0</v>
      </c>
      <c r="X11" s="1">
        <v>0</v>
      </c>
      <c r="Y11" s="1">
        <v>0</v>
      </c>
      <c r="Z11" s="484"/>
      <c r="AA11" s="486">
        <f t="shared" si="1"/>
        <v>11783</v>
      </c>
      <c r="AB11" s="484"/>
      <c r="AC11" s="487">
        <f t="shared" si="2"/>
        <v>11341.7</v>
      </c>
      <c r="AD11" s="487">
        <f t="shared" si="2"/>
        <v>61.7</v>
      </c>
      <c r="AE11" s="487">
        <f t="shared" si="2"/>
        <v>11280</v>
      </c>
      <c r="AF11" s="487">
        <f t="shared" si="3"/>
        <v>200</v>
      </c>
      <c r="AG11" s="487">
        <f t="shared" si="0"/>
        <v>303</v>
      </c>
      <c r="AH11" s="4"/>
      <c r="AI11" s="247"/>
      <c r="AJ11" s="247"/>
      <c r="AK11" s="247"/>
    </row>
    <row r="12" spans="1:59" x14ac:dyDescent="0.2">
      <c r="A12" s="8">
        <v>10600</v>
      </c>
      <c r="B12" s="8" t="s">
        <v>51</v>
      </c>
      <c r="C12" s="8" t="s">
        <v>43</v>
      </c>
      <c r="D12" s="29" t="s">
        <v>4</v>
      </c>
      <c r="E12" s="347"/>
      <c r="F12" s="1">
        <v>1541.1</v>
      </c>
      <c r="G12" s="1">
        <v>46.230000000000018</v>
      </c>
      <c r="H12" s="1">
        <v>1494.87</v>
      </c>
      <c r="I12" s="484"/>
      <c r="J12" s="1">
        <f>'[1]App 4-Recyclables'!H12</f>
        <v>111.45</v>
      </c>
      <c r="K12" s="1">
        <f>'[1]App 5-Organics'!H12+'[1]App 5-Organics'!L12</f>
        <v>0</v>
      </c>
      <c r="L12" s="485"/>
      <c r="M12" s="1">
        <f>'[1]App 4-Recyclables'!P12</f>
        <v>0</v>
      </c>
      <c r="N12" s="1">
        <f>'[1]App 5-Organics'!P12</f>
        <v>0</v>
      </c>
      <c r="O12" s="484"/>
      <c r="P12" s="1">
        <v>2249.8000000000002</v>
      </c>
      <c r="Q12" s="1">
        <v>0</v>
      </c>
      <c r="R12" s="1">
        <v>2249.8000000000002</v>
      </c>
      <c r="S12" s="484"/>
      <c r="T12" s="1">
        <f>'[1]App 4-Recyclables'!T12</f>
        <v>0</v>
      </c>
      <c r="U12" s="1">
        <f>'[1]App 5-Organics'!T12</f>
        <v>0</v>
      </c>
      <c r="V12" s="484"/>
      <c r="W12" s="1">
        <v>65</v>
      </c>
      <c r="X12" s="1">
        <v>65</v>
      </c>
      <c r="Y12" s="1">
        <v>0</v>
      </c>
      <c r="Z12" s="484"/>
      <c r="AA12" s="486">
        <f t="shared" si="1"/>
        <v>3856.12</v>
      </c>
      <c r="AB12" s="484"/>
      <c r="AC12" s="487">
        <f t="shared" si="2"/>
        <v>3855.9</v>
      </c>
      <c r="AD12" s="487">
        <f t="shared" si="2"/>
        <v>111.23000000000002</v>
      </c>
      <c r="AE12" s="487">
        <f t="shared" si="2"/>
        <v>3744.67</v>
      </c>
      <c r="AF12" s="487">
        <f t="shared" si="3"/>
        <v>111.45</v>
      </c>
      <c r="AG12" s="487">
        <f t="shared" si="0"/>
        <v>0</v>
      </c>
      <c r="AH12" s="4"/>
      <c r="AI12" s="247">
        <v>2185</v>
      </c>
      <c r="AJ12" s="247">
        <v>2185</v>
      </c>
      <c r="AK12" s="247">
        <v>0</v>
      </c>
    </row>
    <row r="13" spans="1:59" x14ac:dyDescent="0.2">
      <c r="A13" s="8">
        <v>10650</v>
      </c>
      <c r="B13" s="8" t="s">
        <v>84</v>
      </c>
      <c r="C13" s="8" t="s">
        <v>73</v>
      </c>
      <c r="D13" s="29" t="s">
        <v>1</v>
      </c>
      <c r="E13" s="347"/>
      <c r="F13" s="1">
        <v>1701.32</v>
      </c>
      <c r="G13" s="1">
        <v>0</v>
      </c>
      <c r="H13" s="1">
        <v>1701.32</v>
      </c>
      <c r="I13" s="484"/>
      <c r="J13" s="1">
        <f>'[1]App 4-Recyclables'!H13</f>
        <v>26.06</v>
      </c>
      <c r="K13" s="1">
        <f>'[1]App 5-Organics'!H13+'[1]App 5-Organics'!L13</f>
        <v>0</v>
      </c>
      <c r="L13" s="485"/>
      <c r="M13" s="1">
        <f>'[1]App 4-Recyclables'!P13</f>
        <v>3.69</v>
      </c>
      <c r="N13" s="1">
        <f>'[1]App 5-Organics'!P13</f>
        <v>0</v>
      </c>
      <c r="O13" s="484"/>
      <c r="P13" s="1">
        <v>319.85000000000002</v>
      </c>
      <c r="Q13" s="1">
        <v>0</v>
      </c>
      <c r="R13" s="1">
        <v>319.85000000000002</v>
      </c>
      <c r="S13" s="484"/>
      <c r="T13" s="1">
        <f>'[1]App 4-Recyclables'!T13</f>
        <v>0</v>
      </c>
      <c r="U13" s="1">
        <f>'[1]App 5-Organics'!T13</f>
        <v>0</v>
      </c>
      <c r="V13" s="484"/>
      <c r="W13" s="1">
        <v>0</v>
      </c>
      <c r="X13" s="1">
        <v>0</v>
      </c>
      <c r="Y13" s="1">
        <v>0</v>
      </c>
      <c r="Z13" s="484"/>
      <c r="AA13" s="486">
        <f t="shared" si="1"/>
        <v>2050.92</v>
      </c>
      <c r="AB13" s="484"/>
      <c r="AC13" s="487">
        <f t="shared" si="2"/>
        <v>2021.17</v>
      </c>
      <c r="AD13" s="487">
        <f t="shared" si="2"/>
        <v>0</v>
      </c>
      <c r="AE13" s="487">
        <f t="shared" si="2"/>
        <v>2021.17</v>
      </c>
      <c r="AF13" s="487">
        <f t="shared" si="3"/>
        <v>29.75</v>
      </c>
      <c r="AG13" s="487">
        <f t="shared" si="0"/>
        <v>0</v>
      </c>
      <c r="AH13" s="4"/>
      <c r="AI13" s="247"/>
      <c r="AJ13" s="247"/>
      <c r="AK13" s="247"/>
    </row>
    <row r="14" spans="1:59" x14ac:dyDescent="0.2">
      <c r="A14" s="8">
        <v>10750</v>
      </c>
      <c r="B14" s="8" t="s">
        <v>52</v>
      </c>
      <c r="C14" s="8" t="s">
        <v>19</v>
      </c>
      <c r="D14" s="29" t="s">
        <v>3</v>
      </c>
      <c r="E14" s="347"/>
      <c r="F14" s="1">
        <v>116053</v>
      </c>
      <c r="G14" s="1">
        <v>44832.91</v>
      </c>
      <c r="H14" s="1">
        <v>71220.09</v>
      </c>
      <c r="I14" s="484"/>
      <c r="J14" s="1">
        <f>'[1]App 4-Recyclables'!H14</f>
        <v>1499.23</v>
      </c>
      <c r="K14" s="1">
        <f>'[1]App 5-Organics'!H14+'[1]App 5-Organics'!L14</f>
        <v>0</v>
      </c>
      <c r="L14" s="485"/>
      <c r="M14" s="1">
        <f>'[1]App 4-Recyclables'!P14</f>
        <v>0</v>
      </c>
      <c r="N14" s="1">
        <f>'[1]App 5-Organics'!P14</f>
        <v>0</v>
      </c>
      <c r="O14" s="484"/>
      <c r="P14" s="1">
        <v>27.15</v>
      </c>
      <c r="Q14" s="1">
        <v>27.15</v>
      </c>
      <c r="R14" s="1">
        <v>0</v>
      </c>
      <c r="S14" s="484"/>
      <c r="T14" s="1">
        <f>'[1]App 4-Recyclables'!T14</f>
        <v>0</v>
      </c>
      <c r="U14" s="1">
        <f>'[1]App 5-Organics'!T14</f>
        <v>0</v>
      </c>
      <c r="V14" s="484"/>
      <c r="W14" s="1">
        <v>15371.67</v>
      </c>
      <c r="X14" s="1">
        <v>0</v>
      </c>
      <c r="Y14" s="1">
        <v>15371.67</v>
      </c>
      <c r="Z14" s="484"/>
      <c r="AA14" s="486">
        <f t="shared" si="1"/>
        <v>88090.989999999991</v>
      </c>
      <c r="AB14" s="484"/>
      <c r="AC14" s="487">
        <f t="shared" si="2"/>
        <v>131451.82</v>
      </c>
      <c r="AD14" s="487">
        <f t="shared" si="2"/>
        <v>44860.060000000005</v>
      </c>
      <c r="AE14" s="487">
        <f t="shared" si="2"/>
        <v>86591.76</v>
      </c>
      <c r="AF14" s="487">
        <f t="shared" si="3"/>
        <v>1499.23</v>
      </c>
      <c r="AG14" s="487">
        <f t="shared" si="0"/>
        <v>0</v>
      </c>
      <c r="AH14" s="4"/>
      <c r="AI14" s="247"/>
      <c r="AJ14" s="247"/>
      <c r="AK14" s="247"/>
    </row>
    <row r="15" spans="1:59" x14ac:dyDescent="0.2">
      <c r="A15" s="8">
        <v>10800</v>
      </c>
      <c r="B15" s="8" t="s">
        <v>85</v>
      </c>
      <c r="C15" s="8" t="s">
        <v>22</v>
      </c>
      <c r="D15" s="29" t="s">
        <v>1</v>
      </c>
      <c r="E15" s="347"/>
      <c r="F15" s="1">
        <v>935.7</v>
      </c>
      <c r="G15" s="1">
        <v>0</v>
      </c>
      <c r="H15" s="1">
        <v>935.7</v>
      </c>
      <c r="I15" s="484"/>
      <c r="J15" s="1">
        <f>'[1]App 4-Recyclables'!H15</f>
        <v>0</v>
      </c>
      <c r="K15" s="1">
        <f>'[1]App 5-Organics'!H15+'[1]App 5-Organics'!L15</f>
        <v>0</v>
      </c>
      <c r="L15" s="485"/>
      <c r="M15" s="1">
        <f>'[1]App 4-Recyclables'!P15</f>
        <v>0</v>
      </c>
      <c r="N15" s="1">
        <f>'[1]App 5-Organics'!P15</f>
        <v>0</v>
      </c>
      <c r="O15" s="484"/>
      <c r="P15" s="1">
        <v>710.12</v>
      </c>
      <c r="Q15" s="1">
        <v>0</v>
      </c>
      <c r="R15" s="1">
        <v>710.12</v>
      </c>
      <c r="S15" s="484"/>
      <c r="T15" s="1">
        <f>'[1]App 4-Recyclables'!T15</f>
        <v>0</v>
      </c>
      <c r="U15" s="1">
        <f>'[1]App 5-Organics'!T15</f>
        <v>0</v>
      </c>
      <c r="V15" s="484"/>
      <c r="W15" s="1">
        <v>0</v>
      </c>
      <c r="X15" s="1">
        <v>0</v>
      </c>
      <c r="Y15" s="1">
        <v>0</v>
      </c>
      <c r="Z15" s="484"/>
      <c r="AA15" s="486">
        <f t="shared" si="1"/>
        <v>1645.8200000000002</v>
      </c>
      <c r="AB15" s="484"/>
      <c r="AC15" s="487">
        <f t="shared" si="2"/>
        <v>1645.8200000000002</v>
      </c>
      <c r="AD15" s="487">
        <f t="shared" si="2"/>
        <v>0</v>
      </c>
      <c r="AE15" s="487">
        <f t="shared" si="2"/>
        <v>1645.8200000000002</v>
      </c>
      <c r="AF15" s="487">
        <f t="shared" si="3"/>
        <v>0</v>
      </c>
      <c r="AG15" s="487">
        <f t="shared" si="0"/>
        <v>0</v>
      </c>
      <c r="AH15" s="4"/>
      <c r="AI15" s="247"/>
      <c r="AJ15" s="247"/>
      <c r="AK15" s="247"/>
    </row>
    <row r="16" spans="1:59" x14ac:dyDescent="0.2">
      <c r="A16" s="8">
        <v>10850</v>
      </c>
      <c r="B16" s="8" t="s">
        <v>86</v>
      </c>
      <c r="C16" s="8" t="s">
        <v>42</v>
      </c>
      <c r="D16" s="29" t="s">
        <v>1</v>
      </c>
      <c r="E16" s="347"/>
      <c r="F16" s="1">
        <v>2033</v>
      </c>
      <c r="G16" s="1">
        <v>0</v>
      </c>
      <c r="H16" s="1">
        <v>2033</v>
      </c>
      <c r="I16" s="484"/>
      <c r="J16" s="1">
        <f>'[1]App 4-Recyclables'!H16</f>
        <v>20.83</v>
      </c>
      <c r="K16" s="1">
        <f>'[1]App 5-Organics'!H16+'[1]App 5-Organics'!L16</f>
        <v>0</v>
      </c>
      <c r="L16" s="485"/>
      <c r="M16" s="1">
        <f>'[1]App 4-Recyclables'!P16</f>
        <v>0</v>
      </c>
      <c r="N16" s="1">
        <f>'[1]App 5-Organics'!P16</f>
        <v>0</v>
      </c>
      <c r="O16" s="484"/>
      <c r="P16" s="1">
        <v>1181.8800000000001</v>
      </c>
      <c r="Q16" s="1">
        <v>0</v>
      </c>
      <c r="R16" s="1">
        <v>1181.8800000000001</v>
      </c>
      <c r="S16" s="484"/>
      <c r="T16" s="1">
        <f>'[1]App 4-Recyclables'!T16</f>
        <v>0</v>
      </c>
      <c r="U16" s="1">
        <f>'[1]App 5-Organics'!T16</f>
        <v>0</v>
      </c>
      <c r="V16" s="484"/>
      <c r="W16" s="1">
        <v>161.6</v>
      </c>
      <c r="X16" s="1">
        <v>47.5</v>
      </c>
      <c r="Y16" s="1">
        <v>114.1</v>
      </c>
      <c r="Z16" s="484"/>
      <c r="AA16" s="486">
        <f t="shared" si="1"/>
        <v>3349.81</v>
      </c>
      <c r="AB16" s="484"/>
      <c r="AC16" s="487">
        <f t="shared" si="2"/>
        <v>3376.48</v>
      </c>
      <c r="AD16" s="487">
        <f t="shared" si="2"/>
        <v>47.5</v>
      </c>
      <c r="AE16" s="487">
        <f t="shared" si="2"/>
        <v>3328.98</v>
      </c>
      <c r="AF16" s="487">
        <f t="shared" si="3"/>
        <v>20.83</v>
      </c>
      <c r="AG16" s="487">
        <f t="shared" si="0"/>
        <v>0</v>
      </c>
      <c r="AH16" s="4"/>
      <c r="AI16" s="247"/>
      <c r="AJ16" s="247"/>
      <c r="AK16" s="247"/>
    </row>
    <row r="17" spans="1:37" x14ac:dyDescent="0.2">
      <c r="A17" s="8">
        <v>10900</v>
      </c>
      <c r="B17" s="8" t="s">
        <v>87</v>
      </c>
      <c r="C17" s="8" t="s">
        <v>19</v>
      </c>
      <c r="D17" s="29" t="s">
        <v>4</v>
      </c>
      <c r="E17" s="347"/>
      <c r="F17" s="1">
        <v>17966</v>
      </c>
      <c r="G17" s="1">
        <v>0</v>
      </c>
      <c r="H17" s="1">
        <v>17966</v>
      </c>
      <c r="I17" s="484"/>
      <c r="J17" s="1">
        <f>'[1]App 4-Recyclables'!H17</f>
        <v>821</v>
      </c>
      <c r="K17" s="1">
        <f>'[1]App 5-Organics'!H17+'[1]App 5-Organics'!L17</f>
        <v>229</v>
      </c>
      <c r="L17" s="485"/>
      <c r="M17" s="1">
        <f>'[1]App 4-Recyclables'!P17</f>
        <v>0</v>
      </c>
      <c r="N17" s="1">
        <f>'[1]App 5-Organics'!P17</f>
        <v>0</v>
      </c>
      <c r="O17" s="484"/>
      <c r="P17" s="1">
        <v>3741.23</v>
      </c>
      <c r="Q17" s="1">
        <v>1490.04</v>
      </c>
      <c r="R17" s="1">
        <v>2251.19</v>
      </c>
      <c r="S17" s="484"/>
      <c r="T17" s="1">
        <f>'[1]App 4-Recyclables'!T17</f>
        <v>0</v>
      </c>
      <c r="U17" s="1">
        <f>'[1]App 5-Organics'!T17</f>
        <v>0</v>
      </c>
      <c r="V17" s="484"/>
      <c r="W17" s="1">
        <v>1893.26</v>
      </c>
      <c r="X17" s="1">
        <v>648.37999999999988</v>
      </c>
      <c r="Y17" s="1">
        <v>1244.8800000000001</v>
      </c>
      <c r="Z17" s="484"/>
      <c r="AA17" s="486">
        <f t="shared" si="1"/>
        <v>22512.07</v>
      </c>
      <c r="AB17" s="484"/>
      <c r="AC17" s="487">
        <f t="shared" si="2"/>
        <v>23600.489999999998</v>
      </c>
      <c r="AD17" s="487">
        <f t="shared" si="2"/>
        <v>2138.42</v>
      </c>
      <c r="AE17" s="487">
        <f t="shared" si="2"/>
        <v>21462.07</v>
      </c>
      <c r="AF17" s="487">
        <f t="shared" si="3"/>
        <v>821</v>
      </c>
      <c r="AG17" s="487">
        <f t="shared" si="0"/>
        <v>229</v>
      </c>
      <c r="AH17" s="4"/>
      <c r="AI17" s="247">
        <v>0</v>
      </c>
      <c r="AJ17" s="247">
        <v>0</v>
      </c>
      <c r="AK17" s="247">
        <v>0</v>
      </c>
    </row>
    <row r="18" spans="1:37" x14ac:dyDescent="0.2">
      <c r="A18" s="8">
        <v>10950</v>
      </c>
      <c r="B18" s="8" t="s">
        <v>88</v>
      </c>
      <c r="C18" s="8" t="s">
        <v>42</v>
      </c>
      <c r="D18" s="29" t="s">
        <v>1</v>
      </c>
      <c r="E18" s="347"/>
      <c r="F18" s="1">
        <v>302.10000000000002</v>
      </c>
      <c r="G18" s="1">
        <v>0</v>
      </c>
      <c r="H18" s="1">
        <v>302.10000000000002</v>
      </c>
      <c r="I18" s="484"/>
      <c r="J18" s="1">
        <f>'[1]App 4-Recyclables'!H18</f>
        <v>26.58</v>
      </c>
      <c r="K18" s="1">
        <f>'[1]App 5-Organics'!H18+'[1]App 5-Organics'!L18</f>
        <v>0</v>
      </c>
      <c r="L18" s="485"/>
      <c r="M18" s="1">
        <f>'[1]App 4-Recyclables'!P18</f>
        <v>0</v>
      </c>
      <c r="N18" s="1">
        <f>'[1]App 5-Organics'!P18</f>
        <v>0</v>
      </c>
      <c r="O18" s="484"/>
      <c r="P18" s="1">
        <v>1493.1100000000001</v>
      </c>
      <c r="Q18" s="1">
        <v>20.9</v>
      </c>
      <c r="R18" s="1">
        <v>1472.21</v>
      </c>
      <c r="S18" s="484"/>
      <c r="T18" s="1">
        <f>'[1]App 4-Recyclables'!T18</f>
        <v>0</v>
      </c>
      <c r="U18" s="1">
        <f>'[1]App 5-Organics'!T18</f>
        <v>0</v>
      </c>
      <c r="V18" s="484"/>
      <c r="W18" s="1">
        <v>0</v>
      </c>
      <c r="X18" s="1">
        <v>0</v>
      </c>
      <c r="Y18" s="1">
        <v>0</v>
      </c>
      <c r="Z18" s="484"/>
      <c r="AA18" s="486">
        <f t="shared" si="1"/>
        <v>1800.89</v>
      </c>
      <c r="AB18" s="484"/>
      <c r="AC18" s="487">
        <f t="shared" si="2"/>
        <v>1795.21</v>
      </c>
      <c r="AD18" s="487">
        <f t="shared" si="2"/>
        <v>20.9</v>
      </c>
      <c r="AE18" s="487">
        <f t="shared" si="2"/>
        <v>1774.31</v>
      </c>
      <c r="AF18" s="487">
        <f t="shared" si="3"/>
        <v>26.58</v>
      </c>
      <c r="AG18" s="487">
        <f t="shared" si="0"/>
        <v>0</v>
      </c>
      <c r="AH18" s="4"/>
      <c r="AI18" s="247">
        <v>0</v>
      </c>
      <c r="AJ18" s="247">
        <v>0</v>
      </c>
      <c r="AK18" s="247">
        <v>0</v>
      </c>
    </row>
    <row r="19" spans="1:37" x14ac:dyDescent="0.2">
      <c r="A19" s="8">
        <v>11150</v>
      </c>
      <c r="B19" s="8" t="s">
        <v>89</v>
      </c>
      <c r="C19" s="8" t="s">
        <v>42</v>
      </c>
      <c r="D19" s="29" t="s">
        <v>1</v>
      </c>
      <c r="E19" s="347"/>
      <c r="F19" s="1">
        <v>1017</v>
      </c>
      <c r="G19" s="1">
        <v>0</v>
      </c>
      <c r="H19" s="1">
        <v>1017</v>
      </c>
      <c r="I19" s="484"/>
      <c r="J19" s="1">
        <f>'[1]App 4-Recyclables'!H19</f>
        <v>0</v>
      </c>
      <c r="K19" s="1">
        <f>'[1]App 5-Organics'!H19+'[1]App 5-Organics'!L19</f>
        <v>0</v>
      </c>
      <c r="L19" s="485"/>
      <c r="M19" s="1">
        <f>'[1]App 4-Recyclables'!P19</f>
        <v>0</v>
      </c>
      <c r="N19" s="1">
        <f>'[1]App 5-Organics'!P19</f>
        <v>0</v>
      </c>
      <c r="O19" s="484"/>
      <c r="P19" s="1">
        <v>910</v>
      </c>
      <c r="Q19" s="1">
        <v>0</v>
      </c>
      <c r="R19" s="1">
        <v>910</v>
      </c>
      <c r="S19" s="484"/>
      <c r="T19" s="1">
        <f>'[1]App 4-Recyclables'!T19</f>
        <v>0</v>
      </c>
      <c r="U19" s="1">
        <f>'[1]App 5-Organics'!T19</f>
        <v>0</v>
      </c>
      <c r="V19" s="484"/>
      <c r="W19" s="1">
        <v>0</v>
      </c>
      <c r="X19" s="1">
        <v>0</v>
      </c>
      <c r="Y19" s="1">
        <v>0</v>
      </c>
      <c r="Z19" s="484"/>
      <c r="AA19" s="486">
        <f t="shared" si="1"/>
        <v>1927</v>
      </c>
      <c r="AB19" s="484"/>
      <c r="AC19" s="487">
        <f t="shared" si="2"/>
        <v>1927</v>
      </c>
      <c r="AD19" s="487">
        <f t="shared" si="2"/>
        <v>0</v>
      </c>
      <c r="AE19" s="487">
        <f t="shared" si="2"/>
        <v>1927</v>
      </c>
      <c r="AF19" s="487">
        <f t="shared" si="3"/>
        <v>0</v>
      </c>
      <c r="AG19" s="487">
        <f t="shared" si="0"/>
        <v>0</v>
      </c>
      <c r="AH19" s="4"/>
      <c r="AI19" s="247"/>
      <c r="AJ19" s="247"/>
      <c r="AK19" s="247"/>
    </row>
    <row r="20" spans="1:37" x14ac:dyDescent="0.2">
      <c r="A20" s="8">
        <v>11200</v>
      </c>
      <c r="B20" s="8" t="s">
        <v>90</v>
      </c>
      <c r="C20" s="8" t="s">
        <v>42</v>
      </c>
      <c r="D20" s="29" t="s">
        <v>1</v>
      </c>
      <c r="E20" s="347"/>
      <c r="F20" s="1">
        <v>950</v>
      </c>
      <c r="G20" s="1">
        <v>0</v>
      </c>
      <c r="H20" s="1">
        <v>950</v>
      </c>
      <c r="I20" s="484"/>
      <c r="J20" s="1">
        <f>'[1]App 4-Recyclables'!H20</f>
        <v>0</v>
      </c>
      <c r="K20" s="1">
        <f>'[1]App 5-Organics'!H20+'[1]App 5-Organics'!L20</f>
        <v>0</v>
      </c>
      <c r="L20" s="485"/>
      <c r="M20" s="1">
        <f>'[1]App 4-Recyclables'!P20</f>
        <v>0</v>
      </c>
      <c r="N20" s="1">
        <f>'[1]App 5-Organics'!P20</f>
        <v>0</v>
      </c>
      <c r="O20" s="484"/>
      <c r="P20" s="1">
        <v>0</v>
      </c>
      <c r="Q20" s="1">
        <v>0</v>
      </c>
      <c r="R20" s="1">
        <v>0</v>
      </c>
      <c r="S20" s="484"/>
      <c r="T20" s="1">
        <f>'[1]App 4-Recyclables'!T20</f>
        <v>1.5</v>
      </c>
      <c r="U20" s="1">
        <f>'[1]App 5-Organics'!T20</f>
        <v>0</v>
      </c>
      <c r="V20" s="484"/>
      <c r="W20" s="1">
        <v>15</v>
      </c>
      <c r="X20" s="1">
        <v>0</v>
      </c>
      <c r="Y20" s="1">
        <v>15</v>
      </c>
      <c r="Z20" s="484"/>
      <c r="AA20" s="486">
        <f t="shared" si="1"/>
        <v>966.5</v>
      </c>
      <c r="AB20" s="484"/>
      <c r="AC20" s="487">
        <f t="shared" si="2"/>
        <v>965</v>
      </c>
      <c r="AD20" s="487">
        <f t="shared" si="2"/>
        <v>0</v>
      </c>
      <c r="AE20" s="487">
        <f t="shared" si="2"/>
        <v>965</v>
      </c>
      <c r="AF20" s="487">
        <f t="shared" si="3"/>
        <v>1.5</v>
      </c>
      <c r="AG20" s="487">
        <f t="shared" si="0"/>
        <v>0</v>
      </c>
      <c r="AH20" s="4"/>
      <c r="AI20" s="247"/>
      <c r="AJ20" s="247"/>
      <c r="AK20" s="247"/>
    </row>
    <row r="21" spans="1:37" x14ac:dyDescent="0.2">
      <c r="A21" s="8">
        <v>11250</v>
      </c>
      <c r="B21" s="8" t="s">
        <v>91</v>
      </c>
      <c r="C21" s="8" t="s">
        <v>42</v>
      </c>
      <c r="D21" s="29" t="s">
        <v>1</v>
      </c>
      <c r="E21" s="347"/>
      <c r="F21" s="1">
        <v>9657.44</v>
      </c>
      <c r="G21" s="1">
        <v>0</v>
      </c>
      <c r="H21" s="1">
        <v>9657.44</v>
      </c>
      <c r="I21" s="484"/>
      <c r="J21" s="1">
        <f>'[1]App 4-Recyclables'!H21</f>
        <v>0</v>
      </c>
      <c r="K21" s="1">
        <f>'[1]App 5-Organics'!H21+'[1]App 5-Organics'!L21</f>
        <v>2026</v>
      </c>
      <c r="L21" s="485"/>
      <c r="M21" s="1">
        <f>'[1]App 4-Recyclables'!P21</f>
        <v>569.26</v>
      </c>
      <c r="N21" s="1">
        <f>'[1]App 5-Organics'!P21</f>
        <v>917.51</v>
      </c>
      <c r="O21" s="484"/>
      <c r="P21" s="1">
        <v>7907.39</v>
      </c>
      <c r="Q21" s="1">
        <v>0</v>
      </c>
      <c r="R21" s="1">
        <v>7907.39</v>
      </c>
      <c r="S21" s="484"/>
      <c r="T21" s="1">
        <f>'[1]App 4-Recyclables'!T21</f>
        <v>0</v>
      </c>
      <c r="U21" s="1">
        <f>'[1]App 5-Organics'!T21</f>
        <v>0</v>
      </c>
      <c r="V21" s="484"/>
      <c r="W21" s="1">
        <v>0</v>
      </c>
      <c r="X21" s="1">
        <v>0</v>
      </c>
      <c r="Y21" s="1">
        <v>0</v>
      </c>
      <c r="Z21" s="484"/>
      <c r="AA21" s="486">
        <f t="shared" si="1"/>
        <v>21077.600000000002</v>
      </c>
      <c r="AB21" s="484"/>
      <c r="AC21" s="487">
        <f t="shared" si="2"/>
        <v>17564.830000000002</v>
      </c>
      <c r="AD21" s="487">
        <f t="shared" si="2"/>
        <v>0</v>
      </c>
      <c r="AE21" s="487">
        <f t="shared" si="2"/>
        <v>17564.830000000002</v>
      </c>
      <c r="AF21" s="487">
        <f t="shared" si="3"/>
        <v>569.26</v>
      </c>
      <c r="AG21" s="487">
        <f t="shared" si="0"/>
        <v>2943.51</v>
      </c>
      <c r="AH21" s="4"/>
      <c r="AI21" s="247">
        <v>0</v>
      </c>
      <c r="AJ21" s="247">
        <v>0</v>
      </c>
      <c r="AK21" s="247">
        <v>0</v>
      </c>
    </row>
    <row r="22" spans="1:37" x14ac:dyDescent="0.2">
      <c r="A22" s="8">
        <v>11300</v>
      </c>
      <c r="B22" s="8" t="s">
        <v>92</v>
      </c>
      <c r="C22" s="8" t="s">
        <v>18</v>
      </c>
      <c r="D22" s="29" t="s">
        <v>3</v>
      </c>
      <c r="E22" s="347"/>
      <c r="F22" s="1">
        <v>8381.42</v>
      </c>
      <c r="G22" s="1">
        <v>2988</v>
      </c>
      <c r="H22" s="489">
        <v>5393.42</v>
      </c>
      <c r="I22" s="484"/>
      <c r="J22" s="1">
        <f>'[1]App 4-Recyclables'!H22</f>
        <v>231.9</v>
      </c>
      <c r="K22" s="1">
        <f>'[1]App 5-Organics'!H22+'[1]App 5-Organics'!L22</f>
        <v>0</v>
      </c>
      <c r="L22" s="485"/>
      <c r="M22" s="1">
        <f>'[1]App 4-Recyclables'!P22</f>
        <v>0</v>
      </c>
      <c r="N22" s="1">
        <f>'[1]App 5-Organics'!P22</f>
        <v>0</v>
      </c>
      <c r="O22" s="484"/>
      <c r="P22" s="1">
        <v>0</v>
      </c>
      <c r="Q22" s="1">
        <v>0</v>
      </c>
      <c r="R22" s="1">
        <v>0</v>
      </c>
      <c r="S22" s="484"/>
      <c r="T22" s="1">
        <f>'[1]App 4-Recyclables'!T22</f>
        <v>0</v>
      </c>
      <c r="U22" s="1">
        <f>'[1]App 5-Organics'!T22</f>
        <v>0</v>
      </c>
      <c r="V22" s="484"/>
      <c r="W22" s="1">
        <v>624.1</v>
      </c>
      <c r="X22" s="1">
        <v>624.1</v>
      </c>
      <c r="Y22" s="1">
        <v>0</v>
      </c>
      <c r="Z22" s="484"/>
      <c r="AA22" s="486">
        <f t="shared" si="1"/>
        <v>5625.32</v>
      </c>
      <c r="AB22" s="484"/>
      <c r="AC22" s="487">
        <f t="shared" si="2"/>
        <v>9005.52</v>
      </c>
      <c r="AD22" s="487">
        <f t="shared" si="2"/>
        <v>3612.1</v>
      </c>
      <c r="AE22" s="487">
        <f t="shared" si="2"/>
        <v>5393.42</v>
      </c>
      <c r="AF22" s="487">
        <f t="shared" si="3"/>
        <v>231.9</v>
      </c>
      <c r="AG22" s="487">
        <f t="shared" si="0"/>
        <v>0</v>
      </c>
      <c r="AH22" s="4"/>
      <c r="AI22" s="247">
        <v>0</v>
      </c>
      <c r="AJ22" s="247">
        <v>0</v>
      </c>
      <c r="AK22" s="247">
        <v>0</v>
      </c>
    </row>
    <row r="23" spans="1:37" x14ac:dyDescent="0.2">
      <c r="A23" s="8">
        <v>11350</v>
      </c>
      <c r="B23" s="8" t="s">
        <v>93</v>
      </c>
      <c r="C23" s="8" t="s">
        <v>20</v>
      </c>
      <c r="D23" s="29" t="s">
        <v>4</v>
      </c>
      <c r="E23" s="347"/>
      <c r="F23" s="1">
        <v>6191</v>
      </c>
      <c r="G23" s="1">
        <v>0</v>
      </c>
      <c r="H23" s="1">
        <v>6191</v>
      </c>
      <c r="I23" s="484"/>
      <c r="J23" s="1">
        <f>'[1]App 4-Recyclables'!H23</f>
        <v>334.04</v>
      </c>
      <c r="K23" s="1">
        <f>'[1]App 5-Organics'!H23+'[1]App 5-Organics'!L23</f>
        <v>0</v>
      </c>
      <c r="L23" s="485"/>
      <c r="M23" s="1">
        <f>'[1]App 4-Recyclables'!P23</f>
        <v>41.48</v>
      </c>
      <c r="N23" s="1">
        <f>'[1]App 5-Organics'!P23</f>
        <v>0</v>
      </c>
      <c r="O23" s="484"/>
      <c r="P23" s="1">
        <v>2927.17</v>
      </c>
      <c r="Q23" s="1">
        <v>126.86</v>
      </c>
      <c r="R23" s="1">
        <v>2800.31</v>
      </c>
      <c r="S23" s="484"/>
      <c r="T23" s="1">
        <f>'[1]App 4-Recyclables'!T23</f>
        <v>0</v>
      </c>
      <c r="U23" s="1">
        <f>'[1]App 5-Organics'!T23</f>
        <v>0</v>
      </c>
      <c r="V23" s="484"/>
      <c r="W23" s="1">
        <v>691.3</v>
      </c>
      <c r="X23" s="1">
        <v>0.29999999999995453</v>
      </c>
      <c r="Y23" s="1">
        <v>691</v>
      </c>
      <c r="Z23" s="484"/>
      <c r="AA23" s="486">
        <f t="shared" si="1"/>
        <v>10057.83</v>
      </c>
      <c r="AB23" s="484"/>
      <c r="AC23" s="487">
        <f t="shared" si="2"/>
        <v>9809.4699999999993</v>
      </c>
      <c r="AD23" s="487">
        <f t="shared" si="2"/>
        <v>127.15999999999995</v>
      </c>
      <c r="AE23" s="487">
        <f t="shared" si="2"/>
        <v>9682.31</v>
      </c>
      <c r="AF23" s="487">
        <f t="shared" si="3"/>
        <v>375.52000000000004</v>
      </c>
      <c r="AG23" s="487">
        <f t="shared" si="0"/>
        <v>0</v>
      </c>
      <c r="AH23" s="4"/>
      <c r="AI23" s="247">
        <v>1721.08</v>
      </c>
      <c r="AJ23" s="247">
        <v>0</v>
      </c>
      <c r="AK23" s="247">
        <v>1721.08</v>
      </c>
    </row>
    <row r="24" spans="1:37" x14ac:dyDescent="0.2">
      <c r="A24" s="8">
        <v>11400</v>
      </c>
      <c r="B24" s="8" t="s">
        <v>94</v>
      </c>
      <c r="C24" s="8" t="s">
        <v>42</v>
      </c>
      <c r="D24" s="29" t="s">
        <v>1</v>
      </c>
      <c r="E24" s="347"/>
      <c r="F24" s="1">
        <v>2298.4299999999998</v>
      </c>
      <c r="G24" s="1">
        <v>0</v>
      </c>
      <c r="H24" s="1">
        <v>2298.4299999999998</v>
      </c>
      <c r="I24" s="484"/>
      <c r="J24" s="1">
        <f>'[1]App 4-Recyclables'!H24</f>
        <v>25.77</v>
      </c>
      <c r="K24" s="1">
        <f>'[1]App 5-Organics'!H24+'[1]App 5-Organics'!L24</f>
        <v>0</v>
      </c>
      <c r="L24" s="485"/>
      <c r="M24" s="1">
        <f>'[1]App 4-Recyclables'!P24</f>
        <v>0</v>
      </c>
      <c r="N24" s="1">
        <f>'[1]App 5-Organics'!P24</f>
        <v>0</v>
      </c>
      <c r="O24" s="484"/>
      <c r="P24" s="1">
        <v>3237.8700000000003</v>
      </c>
      <c r="Q24" s="1">
        <v>11.59</v>
      </c>
      <c r="R24" s="1">
        <v>3226.28</v>
      </c>
      <c r="S24" s="484"/>
      <c r="T24" s="1">
        <f>'[1]App 4-Recyclables'!T24</f>
        <v>0</v>
      </c>
      <c r="U24" s="1">
        <f>'[1]App 5-Organics'!T24</f>
        <v>0</v>
      </c>
      <c r="V24" s="484"/>
      <c r="W24" s="1">
        <v>51</v>
      </c>
      <c r="X24" s="1">
        <v>0</v>
      </c>
      <c r="Y24" s="1">
        <v>51</v>
      </c>
      <c r="Z24" s="484"/>
      <c r="AA24" s="486">
        <f t="shared" si="1"/>
        <v>5601.48</v>
      </c>
      <c r="AB24" s="484"/>
      <c r="AC24" s="487">
        <f t="shared" si="2"/>
        <v>5587.3</v>
      </c>
      <c r="AD24" s="487">
        <f t="shared" si="2"/>
        <v>11.59</v>
      </c>
      <c r="AE24" s="487">
        <f t="shared" si="2"/>
        <v>5575.71</v>
      </c>
      <c r="AF24" s="487">
        <f t="shared" si="3"/>
        <v>25.77</v>
      </c>
      <c r="AG24" s="487">
        <f t="shared" si="0"/>
        <v>0</v>
      </c>
      <c r="AH24" s="4"/>
      <c r="AI24" s="247"/>
      <c r="AJ24" s="247"/>
      <c r="AK24" s="247"/>
    </row>
    <row r="25" spans="1:37" x14ac:dyDescent="0.2">
      <c r="A25" s="8">
        <v>11450</v>
      </c>
      <c r="B25" s="8" t="s">
        <v>76</v>
      </c>
      <c r="C25" s="8" t="s">
        <v>193</v>
      </c>
      <c r="D25" s="29" t="s">
        <v>3</v>
      </c>
      <c r="E25" s="347"/>
      <c r="F25" s="1">
        <v>25837.360000000001</v>
      </c>
      <c r="G25" s="1">
        <v>6821.0600000000013</v>
      </c>
      <c r="H25" s="1">
        <v>19016.3</v>
      </c>
      <c r="I25" s="484"/>
      <c r="J25" s="1">
        <f>'[1]App 4-Recyclables'!H25</f>
        <v>2582.42</v>
      </c>
      <c r="K25" s="1">
        <f>'[1]App 5-Organics'!H25+'[1]App 5-Organics'!L25</f>
        <v>389.47</v>
      </c>
      <c r="L25" s="485"/>
      <c r="M25" s="1">
        <f>'[1]App 4-Recyclables'!P25</f>
        <v>0</v>
      </c>
      <c r="N25" s="1">
        <f>'[1]App 5-Organics'!P25</f>
        <v>0</v>
      </c>
      <c r="O25" s="484"/>
      <c r="P25" s="1">
        <v>0.79</v>
      </c>
      <c r="Q25" s="1">
        <v>0.79</v>
      </c>
      <c r="R25" s="1">
        <v>0</v>
      </c>
      <c r="S25" s="484"/>
      <c r="T25" s="1">
        <f>'[1]App 4-Recyclables'!T25</f>
        <v>0</v>
      </c>
      <c r="U25" s="1">
        <f>'[1]App 5-Organics'!T25</f>
        <v>0</v>
      </c>
      <c r="V25" s="484"/>
      <c r="W25" s="1">
        <v>4231.58</v>
      </c>
      <c r="X25" s="1">
        <v>0</v>
      </c>
      <c r="Y25" s="1">
        <v>4231.58</v>
      </c>
      <c r="Z25" s="484"/>
      <c r="AA25" s="486">
        <f t="shared" si="1"/>
        <v>26219.770000000004</v>
      </c>
      <c r="AB25" s="484"/>
      <c r="AC25" s="487">
        <f t="shared" si="2"/>
        <v>30069.730000000003</v>
      </c>
      <c r="AD25" s="487">
        <f t="shared" si="2"/>
        <v>6821.8500000000013</v>
      </c>
      <c r="AE25" s="487">
        <f t="shared" si="2"/>
        <v>23247.879999999997</v>
      </c>
      <c r="AF25" s="487">
        <f t="shared" si="3"/>
        <v>2582.42</v>
      </c>
      <c r="AG25" s="487">
        <f t="shared" si="0"/>
        <v>389.47</v>
      </c>
      <c r="AH25" s="4"/>
      <c r="AI25" s="247">
        <v>2316.42</v>
      </c>
      <c r="AJ25" s="247">
        <v>0</v>
      </c>
      <c r="AK25" s="247">
        <v>2316.42</v>
      </c>
    </row>
    <row r="26" spans="1:37" x14ac:dyDescent="0.2">
      <c r="A26" s="8">
        <v>11500</v>
      </c>
      <c r="B26" s="8" t="s">
        <v>53</v>
      </c>
      <c r="C26" s="8" t="s">
        <v>193</v>
      </c>
      <c r="D26" s="29" t="s">
        <v>3</v>
      </c>
      <c r="E26" s="347"/>
      <c r="F26" s="1">
        <v>37858.54</v>
      </c>
      <c r="G26" s="1">
        <v>55.379999999997381</v>
      </c>
      <c r="H26" s="1">
        <v>37803.160000000003</v>
      </c>
      <c r="I26" s="484"/>
      <c r="J26" s="1">
        <f>'[1]App 4-Recyclables'!H26</f>
        <v>2826.49</v>
      </c>
      <c r="K26" s="1">
        <f>'[1]App 5-Organics'!H26+'[1]App 5-Organics'!L26</f>
        <v>221.1</v>
      </c>
      <c r="L26" s="485"/>
      <c r="M26" s="1">
        <f>'[1]App 4-Recyclables'!P26</f>
        <v>0</v>
      </c>
      <c r="N26" s="1">
        <f>'[1]App 5-Organics'!P26</f>
        <v>0</v>
      </c>
      <c r="O26" s="484"/>
      <c r="P26" s="1">
        <v>0</v>
      </c>
      <c r="Q26" s="1">
        <v>0</v>
      </c>
      <c r="R26" s="1">
        <v>0</v>
      </c>
      <c r="S26" s="484"/>
      <c r="T26" s="1">
        <f>'[1]App 4-Recyclables'!T26</f>
        <v>0</v>
      </c>
      <c r="U26" s="1">
        <f>'[1]App 5-Organics'!T26</f>
        <v>0</v>
      </c>
      <c r="V26" s="484"/>
      <c r="W26" s="1">
        <v>8891.2199999999993</v>
      </c>
      <c r="X26" s="1">
        <v>0</v>
      </c>
      <c r="Y26" s="1">
        <v>8891.2199999999993</v>
      </c>
      <c r="Z26" s="484"/>
      <c r="AA26" s="486">
        <f t="shared" si="1"/>
        <v>49741.97</v>
      </c>
      <c r="AB26" s="484"/>
      <c r="AC26" s="487">
        <f t="shared" si="2"/>
        <v>46749.760000000002</v>
      </c>
      <c r="AD26" s="487">
        <f t="shared" si="2"/>
        <v>55.379999999997381</v>
      </c>
      <c r="AE26" s="487">
        <f t="shared" si="2"/>
        <v>46694.380000000005</v>
      </c>
      <c r="AF26" s="487">
        <f t="shared" si="3"/>
        <v>2826.49</v>
      </c>
      <c r="AG26" s="487">
        <f t="shared" si="0"/>
        <v>221.1</v>
      </c>
      <c r="AH26" s="4"/>
      <c r="AI26" s="247">
        <v>0</v>
      </c>
      <c r="AJ26" s="247">
        <v>0</v>
      </c>
      <c r="AK26" s="247">
        <v>0</v>
      </c>
    </row>
    <row r="27" spans="1:37" x14ac:dyDescent="0.2">
      <c r="A27" s="8">
        <v>11520</v>
      </c>
      <c r="B27" s="8" t="s">
        <v>95</v>
      </c>
      <c r="C27" s="8" t="s">
        <v>18</v>
      </c>
      <c r="D27" s="29" t="s">
        <v>3</v>
      </c>
      <c r="E27" s="347"/>
      <c r="F27" s="1">
        <v>18584.47</v>
      </c>
      <c r="G27" s="1">
        <v>0</v>
      </c>
      <c r="H27" s="1">
        <v>18584.47</v>
      </c>
      <c r="I27" s="484"/>
      <c r="J27" s="1">
        <f>'[1]App 4-Recyclables'!H27</f>
        <v>677</v>
      </c>
      <c r="K27" s="1">
        <f>'[1]App 5-Organics'!H27+'[1]App 5-Organics'!L27</f>
        <v>49</v>
      </c>
      <c r="L27" s="485"/>
      <c r="M27" s="1">
        <f>'[1]App 4-Recyclables'!P27</f>
        <v>0</v>
      </c>
      <c r="N27" s="1">
        <f>'[1]App 5-Organics'!P27</f>
        <v>0</v>
      </c>
      <c r="O27" s="484"/>
      <c r="P27" s="1">
        <v>197.11</v>
      </c>
      <c r="Q27" s="1">
        <v>197.11</v>
      </c>
      <c r="R27" s="1">
        <v>0</v>
      </c>
      <c r="S27" s="484"/>
      <c r="T27" s="1">
        <f>'[1]App 4-Recyclables'!T27</f>
        <v>0</v>
      </c>
      <c r="U27" s="1">
        <f>'[1]App 5-Organics'!T27</f>
        <v>1</v>
      </c>
      <c r="V27" s="484"/>
      <c r="W27" s="1">
        <v>2707</v>
      </c>
      <c r="X27" s="1">
        <v>407</v>
      </c>
      <c r="Y27" s="1">
        <v>2300</v>
      </c>
      <c r="Z27" s="484"/>
      <c r="AA27" s="486">
        <f t="shared" si="1"/>
        <v>21611.47</v>
      </c>
      <c r="AB27" s="484"/>
      <c r="AC27" s="487">
        <f t="shared" si="2"/>
        <v>21488.58</v>
      </c>
      <c r="AD27" s="487">
        <f t="shared" si="2"/>
        <v>604.11</v>
      </c>
      <c r="AE27" s="487">
        <f t="shared" si="2"/>
        <v>20884.47</v>
      </c>
      <c r="AF27" s="487">
        <f t="shared" si="3"/>
        <v>677</v>
      </c>
      <c r="AG27" s="487">
        <f t="shared" si="0"/>
        <v>50</v>
      </c>
      <c r="AH27" s="4"/>
      <c r="AI27" s="247">
        <v>764.3</v>
      </c>
      <c r="AJ27" s="247">
        <v>0</v>
      </c>
      <c r="AK27" s="247">
        <v>764.3</v>
      </c>
    </row>
    <row r="28" spans="1:37" x14ac:dyDescent="0.2">
      <c r="A28" s="8">
        <v>11570</v>
      </c>
      <c r="B28" s="8" t="s">
        <v>96</v>
      </c>
      <c r="C28" s="8" t="s">
        <v>18</v>
      </c>
      <c r="D28" s="29" t="s">
        <v>3</v>
      </c>
      <c r="E28" s="347"/>
      <c r="F28" s="1">
        <v>87854</v>
      </c>
      <c r="G28" s="1">
        <v>0</v>
      </c>
      <c r="H28" s="1">
        <v>87854</v>
      </c>
      <c r="I28" s="484"/>
      <c r="J28" s="1">
        <f>'[1]App 4-Recyclables'!H28</f>
        <v>4292.2700000000004</v>
      </c>
      <c r="K28" s="1">
        <f>'[1]App 5-Organics'!H28+'[1]App 5-Organics'!L28</f>
        <v>0</v>
      </c>
      <c r="L28" s="485"/>
      <c r="M28" s="1">
        <f>'[1]App 4-Recyclables'!P28</f>
        <v>0</v>
      </c>
      <c r="N28" s="1">
        <f>'[1]App 5-Organics'!P28</f>
        <v>0</v>
      </c>
      <c r="O28" s="484"/>
      <c r="P28" s="1">
        <v>0</v>
      </c>
      <c r="Q28" s="1">
        <v>0</v>
      </c>
      <c r="R28" s="1">
        <v>0</v>
      </c>
      <c r="S28" s="484"/>
      <c r="T28" s="1">
        <f>'[1]App 4-Recyclables'!T28</f>
        <v>0</v>
      </c>
      <c r="U28" s="1">
        <f>'[1]App 5-Organics'!T28</f>
        <v>0</v>
      </c>
      <c r="V28" s="484"/>
      <c r="W28" s="1">
        <v>14522</v>
      </c>
      <c r="X28" s="1">
        <v>5057</v>
      </c>
      <c r="Y28" s="1">
        <v>9465</v>
      </c>
      <c r="Z28" s="484"/>
      <c r="AA28" s="486">
        <f t="shared" si="1"/>
        <v>101611.27</v>
      </c>
      <c r="AB28" s="484"/>
      <c r="AC28" s="487">
        <f t="shared" si="2"/>
        <v>102376</v>
      </c>
      <c r="AD28" s="487">
        <f t="shared" si="2"/>
        <v>5057</v>
      </c>
      <c r="AE28" s="487">
        <f t="shared" si="2"/>
        <v>97319</v>
      </c>
      <c r="AF28" s="487">
        <f t="shared" si="3"/>
        <v>4292.2700000000004</v>
      </c>
      <c r="AG28" s="487">
        <f t="shared" si="0"/>
        <v>0</v>
      </c>
      <c r="AH28" s="4"/>
      <c r="AI28" s="247">
        <v>1694</v>
      </c>
      <c r="AJ28" s="247">
        <v>0</v>
      </c>
      <c r="AK28" s="247">
        <v>1694</v>
      </c>
    </row>
    <row r="29" spans="1:37" x14ac:dyDescent="0.2">
      <c r="A29" s="8">
        <v>11600</v>
      </c>
      <c r="B29" s="8" t="s">
        <v>97</v>
      </c>
      <c r="C29" s="8" t="s">
        <v>75</v>
      </c>
      <c r="D29" s="29" t="s">
        <v>1</v>
      </c>
      <c r="E29" s="347"/>
      <c r="F29" s="1">
        <v>750</v>
      </c>
      <c r="G29" s="1">
        <v>0</v>
      </c>
      <c r="H29" s="1">
        <v>750</v>
      </c>
      <c r="I29" s="484"/>
      <c r="J29" s="1">
        <f>'[1]App 4-Recyclables'!H29</f>
        <v>0</v>
      </c>
      <c r="K29" s="1">
        <f>'[1]App 5-Organics'!H29+'[1]App 5-Organics'!L29</f>
        <v>0</v>
      </c>
      <c r="L29" s="485"/>
      <c r="M29" s="1">
        <f>'[1]App 4-Recyclables'!P29</f>
        <v>0</v>
      </c>
      <c r="N29" s="1">
        <f>'[1]App 5-Organics'!P29</f>
        <v>0</v>
      </c>
      <c r="O29" s="484"/>
      <c r="P29" s="1">
        <v>30.99</v>
      </c>
      <c r="Q29" s="1">
        <v>0</v>
      </c>
      <c r="R29" s="1">
        <v>30.99</v>
      </c>
      <c r="S29" s="484"/>
      <c r="T29" s="1">
        <f>'[1]App 4-Recyclables'!T29</f>
        <v>0</v>
      </c>
      <c r="U29" s="1">
        <f>'[1]App 5-Organics'!T29</f>
        <v>0</v>
      </c>
      <c r="V29" s="484"/>
      <c r="W29" s="1">
        <v>0</v>
      </c>
      <c r="X29" s="1">
        <v>0</v>
      </c>
      <c r="Y29" s="1">
        <v>0</v>
      </c>
      <c r="Z29" s="484"/>
      <c r="AA29" s="486">
        <f t="shared" si="1"/>
        <v>780.99</v>
      </c>
      <c r="AB29" s="484"/>
      <c r="AC29" s="487">
        <f t="shared" si="2"/>
        <v>780.99</v>
      </c>
      <c r="AD29" s="487">
        <f t="shared" si="2"/>
        <v>0</v>
      </c>
      <c r="AE29" s="487">
        <f t="shared" si="2"/>
        <v>780.99</v>
      </c>
      <c r="AF29" s="487">
        <f t="shared" si="3"/>
        <v>0</v>
      </c>
      <c r="AG29" s="487">
        <f t="shared" si="0"/>
        <v>0</v>
      </c>
      <c r="AH29" s="4"/>
      <c r="AI29" s="247">
        <v>0</v>
      </c>
      <c r="AJ29" s="247">
        <v>0</v>
      </c>
      <c r="AK29" s="247">
        <v>0</v>
      </c>
    </row>
    <row r="30" spans="1:37" x14ac:dyDescent="0.2">
      <c r="A30" s="8">
        <v>11650</v>
      </c>
      <c r="B30" s="8" t="s">
        <v>98</v>
      </c>
      <c r="C30" s="8" t="s">
        <v>25</v>
      </c>
      <c r="D30" s="29" t="s">
        <v>2</v>
      </c>
      <c r="E30" s="347"/>
      <c r="F30" s="1">
        <v>82700</v>
      </c>
      <c r="G30" s="1">
        <v>0</v>
      </c>
      <c r="H30" s="1">
        <v>82700</v>
      </c>
      <c r="I30" s="484"/>
      <c r="J30" s="1">
        <f>'[1]App 4-Recyclables'!H30</f>
        <v>2820</v>
      </c>
      <c r="K30" s="1">
        <f>'[1]App 5-Organics'!H30+'[1]App 5-Organics'!L30</f>
        <v>90</v>
      </c>
      <c r="L30" s="485"/>
      <c r="M30" s="1">
        <f>'[1]App 4-Recyclables'!P30</f>
        <v>3</v>
      </c>
      <c r="N30" s="1">
        <f>'[1]App 5-Organics'!P30</f>
        <v>0</v>
      </c>
      <c r="O30" s="484"/>
      <c r="P30" s="1">
        <v>15183</v>
      </c>
      <c r="Q30" s="1">
        <v>19</v>
      </c>
      <c r="R30" s="1">
        <v>15164</v>
      </c>
      <c r="S30" s="484"/>
      <c r="T30" s="1">
        <f>'[1]App 4-Recyclables'!T30</f>
        <v>0</v>
      </c>
      <c r="U30" s="1">
        <f>'[1]App 5-Organics'!T30</f>
        <v>0</v>
      </c>
      <c r="V30" s="484"/>
      <c r="W30" s="1">
        <v>24267</v>
      </c>
      <c r="X30" s="1">
        <v>1000</v>
      </c>
      <c r="Y30" s="1">
        <v>23267</v>
      </c>
      <c r="Z30" s="484"/>
      <c r="AA30" s="486">
        <f t="shared" si="1"/>
        <v>124044</v>
      </c>
      <c r="AB30" s="484"/>
      <c r="AC30" s="487">
        <f t="shared" si="2"/>
        <v>122150</v>
      </c>
      <c r="AD30" s="487">
        <f t="shared" si="2"/>
        <v>1019</v>
      </c>
      <c r="AE30" s="487">
        <f t="shared" si="2"/>
        <v>121131</v>
      </c>
      <c r="AF30" s="487">
        <f t="shared" si="3"/>
        <v>2823</v>
      </c>
      <c r="AG30" s="487">
        <f t="shared" si="0"/>
        <v>90</v>
      </c>
      <c r="AH30" s="4"/>
      <c r="AI30" s="247">
        <v>4436</v>
      </c>
      <c r="AJ30" s="247">
        <v>0</v>
      </c>
      <c r="AK30" s="247">
        <v>4436</v>
      </c>
    </row>
    <row r="31" spans="1:37" ht="12" customHeight="1" x14ac:dyDescent="0.2">
      <c r="A31" s="8">
        <v>11700</v>
      </c>
      <c r="B31" s="8" t="s">
        <v>99</v>
      </c>
      <c r="C31" s="8" t="s">
        <v>42</v>
      </c>
      <c r="D31" s="29" t="s">
        <v>1</v>
      </c>
      <c r="E31" s="347"/>
      <c r="F31" s="1">
        <v>435</v>
      </c>
      <c r="G31" s="1">
        <v>0</v>
      </c>
      <c r="H31" s="1">
        <v>435</v>
      </c>
      <c r="I31" s="484"/>
      <c r="J31" s="1">
        <f>'[1]App 4-Recyclables'!H31</f>
        <v>0</v>
      </c>
      <c r="K31" s="1">
        <f>'[1]App 5-Organics'!H31+'[1]App 5-Organics'!L31</f>
        <v>0</v>
      </c>
      <c r="L31" s="485"/>
      <c r="M31" s="1">
        <f>'[1]App 4-Recyclables'!P31</f>
        <v>30.5</v>
      </c>
      <c r="N31" s="1">
        <f>'[1]App 5-Organics'!P31</f>
        <v>0</v>
      </c>
      <c r="O31" s="484"/>
      <c r="P31" s="1">
        <v>0</v>
      </c>
      <c r="Q31" s="1">
        <v>0</v>
      </c>
      <c r="R31" s="1">
        <v>0</v>
      </c>
      <c r="S31" s="484"/>
      <c r="T31" s="1">
        <f>'[1]App 4-Recyclables'!T31</f>
        <v>0</v>
      </c>
      <c r="U31" s="1">
        <f>'[1]App 5-Organics'!T31</f>
        <v>0</v>
      </c>
      <c r="V31" s="484"/>
      <c r="W31" s="1">
        <v>0</v>
      </c>
      <c r="X31" s="1">
        <v>0</v>
      </c>
      <c r="Y31" s="1">
        <v>0</v>
      </c>
      <c r="Z31" s="484"/>
      <c r="AA31" s="486">
        <f t="shared" si="1"/>
        <v>465.5</v>
      </c>
      <c r="AB31" s="484"/>
      <c r="AC31" s="487">
        <f t="shared" si="2"/>
        <v>435</v>
      </c>
      <c r="AD31" s="487">
        <f t="shared" si="2"/>
        <v>0</v>
      </c>
      <c r="AE31" s="487">
        <f t="shared" si="2"/>
        <v>435</v>
      </c>
      <c r="AF31" s="487">
        <f t="shared" si="3"/>
        <v>30.5</v>
      </c>
      <c r="AG31" s="487">
        <f t="shared" si="0"/>
        <v>0</v>
      </c>
      <c r="AH31" s="4"/>
      <c r="AI31" s="247">
        <v>0</v>
      </c>
      <c r="AJ31" s="247">
        <v>0</v>
      </c>
      <c r="AK31" s="247">
        <v>0</v>
      </c>
    </row>
    <row r="32" spans="1:37" x14ac:dyDescent="0.2">
      <c r="A32" s="8">
        <v>11720</v>
      </c>
      <c r="B32" s="8" t="s">
        <v>100</v>
      </c>
      <c r="C32" s="8" t="s">
        <v>25</v>
      </c>
      <c r="D32" s="29" t="s">
        <v>2</v>
      </c>
      <c r="E32" s="347"/>
      <c r="F32" s="1">
        <v>16422</v>
      </c>
      <c r="G32" s="1">
        <v>0</v>
      </c>
      <c r="H32" s="1">
        <v>16422</v>
      </c>
      <c r="I32" s="484"/>
      <c r="J32" s="1">
        <f>'[1]App 4-Recyclables'!H32</f>
        <v>444.56</v>
      </c>
      <c r="K32" s="1">
        <f>'[1]App 5-Organics'!H32+'[1]App 5-Organics'!L32</f>
        <v>8.56</v>
      </c>
      <c r="L32" s="485"/>
      <c r="M32" s="1">
        <f>'[1]App 4-Recyclables'!P32</f>
        <v>1.38</v>
      </c>
      <c r="N32" s="1">
        <f>'[1]App 5-Organics'!P32</f>
        <v>0</v>
      </c>
      <c r="O32" s="484"/>
      <c r="P32" s="1">
        <v>12909.190000000002</v>
      </c>
      <c r="Q32" s="488">
        <v>129.66</v>
      </c>
      <c r="R32" s="488">
        <v>12779.53</v>
      </c>
      <c r="S32" s="484"/>
      <c r="T32" s="1">
        <f>'[1]App 4-Recyclables'!T32</f>
        <v>0</v>
      </c>
      <c r="U32" s="1">
        <f>'[1]App 5-Organics'!T32</f>
        <v>0</v>
      </c>
      <c r="V32" s="484"/>
      <c r="W32" s="1">
        <v>0</v>
      </c>
      <c r="X32" s="1">
        <v>0</v>
      </c>
      <c r="Y32" s="1">
        <v>0</v>
      </c>
      <c r="Z32" s="484"/>
      <c r="AA32" s="486">
        <f t="shared" si="1"/>
        <v>29656.030000000006</v>
      </c>
      <c r="AB32" s="484"/>
      <c r="AC32" s="487">
        <f t="shared" si="2"/>
        <v>29331.190000000002</v>
      </c>
      <c r="AD32" s="487">
        <f t="shared" si="2"/>
        <v>129.66</v>
      </c>
      <c r="AE32" s="487">
        <f t="shared" si="2"/>
        <v>29201.53</v>
      </c>
      <c r="AF32" s="487">
        <f t="shared" si="3"/>
        <v>445.94</v>
      </c>
      <c r="AG32" s="487">
        <f t="shared" si="0"/>
        <v>8.56</v>
      </c>
      <c r="AH32" s="4"/>
      <c r="AI32" s="247">
        <v>1612.02</v>
      </c>
      <c r="AJ32" s="247">
        <v>0</v>
      </c>
      <c r="AK32" s="247">
        <v>1612.02</v>
      </c>
    </row>
    <row r="33" spans="1:37" x14ac:dyDescent="0.2">
      <c r="A33" s="8">
        <v>11730</v>
      </c>
      <c r="B33" s="8" t="s">
        <v>101</v>
      </c>
      <c r="C33" s="8" t="s">
        <v>20</v>
      </c>
      <c r="D33" s="29" t="s">
        <v>4</v>
      </c>
      <c r="E33" s="347"/>
      <c r="F33" s="1">
        <v>8421</v>
      </c>
      <c r="G33" s="1">
        <v>0</v>
      </c>
      <c r="H33" s="1">
        <v>8421</v>
      </c>
      <c r="I33" s="484"/>
      <c r="J33" s="1">
        <f>'[1]App 4-Recyclables'!H33</f>
        <v>204</v>
      </c>
      <c r="K33" s="1">
        <f>'[1]App 5-Organics'!H33+'[1]App 5-Organics'!L33</f>
        <v>85</v>
      </c>
      <c r="L33" s="485"/>
      <c r="M33" s="1">
        <f>'[1]App 4-Recyclables'!P33</f>
        <v>0</v>
      </c>
      <c r="N33" s="1">
        <f>'[1]App 5-Organics'!P33</f>
        <v>0</v>
      </c>
      <c r="O33" s="484"/>
      <c r="P33" s="1">
        <v>3095</v>
      </c>
      <c r="Q33" s="1">
        <v>257</v>
      </c>
      <c r="R33" s="1">
        <v>2838</v>
      </c>
      <c r="S33" s="484"/>
      <c r="T33" s="1">
        <f>'[1]App 4-Recyclables'!T33</f>
        <v>0</v>
      </c>
      <c r="U33" s="1">
        <f>'[1]App 5-Organics'!T33</f>
        <v>0</v>
      </c>
      <c r="V33" s="484"/>
      <c r="W33" s="1">
        <v>1605.22</v>
      </c>
      <c r="X33" s="1">
        <v>0</v>
      </c>
      <c r="Y33" s="1">
        <v>1605.22</v>
      </c>
      <c r="Z33" s="484"/>
      <c r="AA33" s="486">
        <f t="shared" si="1"/>
        <v>13153.22</v>
      </c>
      <c r="AB33" s="484"/>
      <c r="AC33" s="487">
        <f t="shared" si="2"/>
        <v>13121.22</v>
      </c>
      <c r="AD33" s="487">
        <f t="shared" si="2"/>
        <v>257</v>
      </c>
      <c r="AE33" s="487">
        <f t="shared" si="2"/>
        <v>12864.22</v>
      </c>
      <c r="AF33" s="487">
        <f t="shared" si="3"/>
        <v>204</v>
      </c>
      <c r="AG33" s="487">
        <f t="shared" si="0"/>
        <v>85</v>
      </c>
      <c r="AH33" s="4"/>
      <c r="AI33" s="247">
        <v>0</v>
      </c>
      <c r="AJ33" s="247">
        <v>0</v>
      </c>
      <c r="AK33" s="247">
        <v>0</v>
      </c>
    </row>
    <row r="34" spans="1:37" x14ac:dyDescent="0.2">
      <c r="A34" s="8">
        <v>11750</v>
      </c>
      <c r="B34" s="8" t="s">
        <v>102</v>
      </c>
      <c r="C34" s="8" t="s">
        <v>42</v>
      </c>
      <c r="D34" s="29" t="s">
        <v>1</v>
      </c>
      <c r="E34" s="347"/>
      <c r="F34" s="1">
        <v>875</v>
      </c>
      <c r="G34" s="1">
        <v>0</v>
      </c>
      <c r="H34" s="1">
        <v>875</v>
      </c>
      <c r="I34" s="484"/>
      <c r="J34" s="1">
        <f>'[1]App 4-Recyclables'!H34</f>
        <v>0</v>
      </c>
      <c r="K34" s="1">
        <f>'[1]App 5-Organics'!H34+'[1]App 5-Organics'!L34</f>
        <v>0</v>
      </c>
      <c r="L34" s="485"/>
      <c r="M34" s="1">
        <f>'[1]App 4-Recyclables'!P34</f>
        <v>0</v>
      </c>
      <c r="N34" s="1">
        <f>'[1]App 5-Organics'!P34</f>
        <v>40</v>
      </c>
      <c r="O34" s="484"/>
      <c r="P34" s="1">
        <v>7</v>
      </c>
      <c r="Q34" s="1">
        <v>7</v>
      </c>
      <c r="R34" s="1">
        <v>0</v>
      </c>
      <c r="S34" s="484"/>
      <c r="T34" s="1">
        <f>'[1]App 4-Recyclables'!T34</f>
        <v>0</v>
      </c>
      <c r="U34" s="1">
        <f>'[1]App 5-Organics'!T34</f>
        <v>0</v>
      </c>
      <c r="V34" s="484"/>
      <c r="W34" s="1">
        <v>0</v>
      </c>
      <c r="X34" s="1">
        <v>0</v>
      </c>
      <c r="Y34" s="1">
        <v>0</v>
      </c>
      <c r="Z34" s="484"/>
      <c r="AA34" s="486">
        <f t="shared" si="1"/>
        <v>915</v>
      </c>
      <c r="AB34" s="484"/>
      <c r="AC34" s="487">
        <f t="shared" si="2"/>
        <v>882</v>
      </c>
      <c r="AD34" s="487">
        <f t="shared" si="2"/>
        <v>7</v>
      </c>
      <c r="AE34" s="487">
        <f t="shared" si="2"/>
        <v>875</v>
      </c>
      <c r="AF34" s="487">
        <f t="shared" si="3"/>
        <v>0</v>
      </c>
      <c r="AG34" s="487">
        <f t="shared" si="0"/>
        <v>40</v>
      </c>
      <c r="AH34" s="4"/>
      <c r="AI34" s="247"/>
      <c r="AJ34" s="247"/>
      <c r="AK34" s="247"/>
    </row>
    <row r="35" spans="1:37" x14ac:dyDescent="0.2">
      <c r="A35" s="8">
        <v>11800</v>
      </c>
      <c r="B35" s="8" t="s">
        <v>49</v>
      </c>
      <c r="C35" s="8" t="s">
        <v>43</v>
      </c>
      <c r="D35" s="29" t="s">
        <v>4</v>
      </c>
      <c r="E35" s="347"/>
      <c r="F35" s="1">
        <v>14239</v>
      </c>
      <c r="G35" s="1">
        <v>456</v>
      </c>
      <c r="H35" s="1">
        <v>13783</v>
      </c>
      <c r="I35" s="484"/>
      <c r="J35" s="1">
        <f>'[1]App 4-Recyclables'!H35</f>
        <v>1006</v>
      </c>
      <c r="K35" s="1">
        <f>'[1]App 5-Organics'!H35+'[1]App 5-Organics'!L35</f>
        <v>255</v>
      </c>
      <c r="L35" s="485"/>
      <c r="M35" s="1">
        <f>'[1]App 4-Recyclables'!P35</f>
        <v>0</v>
      </c>
      <c r="N35" s="1">
        <f>'[1]App 5-Organics'!P35</f>
        <v>0</v>
      </c>
      <c r="O35" s="484"/>
      <c r="P35" s="1">
        <v>6690</v>
      </c>
      <c r="Q35" s="1">
        <v>426</v>
      </c>
      <c r="R35" s="1">
        <v>6264</v>
      </c>
      <c r="S35" s="484"/>
      <c r="T35" s="1">
        <f>'[1]App 4-Recyclables'!T35</f>
        <v>0</v>
      </c>
      <c r="U35" s="1">
        <f>'[1]App 5-Organics'!T35</f>
        <v>0</v>
      </c>
      <c r="V35" s="484"/>
      <c r="W35" s="1">
        <v>449</v>
      </c>
      <c r="X35" s="1">
        <v>97</v>
      </c>
      <c r="Y35" s="1">
        <v>352</v>
      </c>
      <c r="Z35" s="484"/>
      <c r="AA35" s="486">
        <f t="shared" si="1"/>
        <v>21660</v>
      </c>
      <c r="AB35" s="484"/>
      <c r="AC35" s="487">
        <f t="shared" si="2"/>
        <v>21378</v>
      </c>
      <c r="AD35" s="487">
        <f t="shared" si="2"/>
        <v>979</v>
      </c>
      <c r="AE35" s="487">
        <f t="shared" si="2"/>
        <v>20399</v>
      </c>
      <c r="AF35" s="487">
        <f t="shared" si="3"/>
        <v>1006</v>
      </c>
      <c r="AG35" s="487">
        <f t="shared" si="0"/>
        <v>255</v>
      </c>
      <c r="AH35" s="4"/>
      <c r="AI35" s="247">
        <v>556</v>
      </c>
      <c r="AJ35" s="247">
        <v>0</v>
      </c>
      <c r="AK35" s="247">
        <v>556</v>
      </c>
    </row>
    <row r="36" spans="1:37" x14ac:dyDescent="0.2">
      <c r="A36" s="8">
        <v>12000</v>
      </c>
      <c r="B36" s="8" t="s">
        <v>103</v>
      </c>
      <c r="C36" s="8" t="s">
        <v>22</v>
      </c>
      <c r="D36" s="29" t="s">
        <v>1</v>
      </c>
      <c r="E36" s="347"/>
      <c r="F36" s="1">
        <v>788.13</v>
      </c>
      <c r="G36" s="1">
        <v>0</v>
      </c>
      <c r="H36" s="1">
        <v>788.13</v>
      </c>
      <c r="I36" s="484"/>
      <c r="J36" s="1">
        <f>'[1]App 4-Recyclables'!H36</f>
        <v>13.6</v>
      </c>
      <c r="K36" s="1">
        <f>'[1]App 5-Organics'!H36+'[1]App 5-Organics'!L36</f>
        <v>0</v>
      </c>
      <c r="L36" s="485"/>
      <c r="M36" s="1">
        <f>'[1]App 4-Recyclables'!P36</f>
        <v>0</v>
      </c>
      <c r="N36" s="1">
        <f>'[1]App 5-Organics'!P36</f>
        <v>0</v>
      </c>
      <c r="O36" s="484"/>
      <c r="P36" s="1">
        <v>1162.69</v>
      </c>
      <c r="Q36" s="1">
        <v>1</v>
      </c>
      <c r="R36" s="1">
        <v>1161.69</v>
      </c>
      <c r="S36" s="484"/>
      <c r="T36" s="1">
        <f>'[1]App 4-Recyclables'!T36</f>
        <v>0</v>
      </c>
      <c r="U36" s="1">
        <f>'[1]App 5-Organics'!T36</f>
        <v>0</v>
      </c>
      <c r="V36" s="484"/>
      <c r="W36" s="1">
        <v>7</v>
      </c>
      <c r="X36" s="1">
        <v>7</v>
      </c>
      <c r="Y36" s="1">
        <v>0</v>
      </c>
      <c r="Z36" s="484"/>
      <c r="AA36" s="486">
        <f t="shared" si="1"/>
        <v>1963.42</v>
      </c>
      <c r="AB36" s="484"/>
      <c r="AC36" s="487">
        <f t="shared" si="2"/>
        <v>1957.8200000000002</v>
      </c>
      <c r="AD36" s="487">
        <f t="shared" si="2"/>
        <v>8</v>
      </c>
      <c r="AE36" s="487">
        <f t="shared" si="2"/>
        <v>1949.8200000000002</v>
      </c>
      <c r="AF36" s="487">
        <f t="shared" si="3"/>
        <v>13.6</v>
      </c>
      <c r="AG36" s="487">
        <f t="shared" si="0"/>
        <v>0</v>
      </c>
      <c r="AH36" s="4"/>
      <c r="AI36" s="247"/>
      <c r="AJ36" s="247"/>
      <c r="AK36" s="247"/>
    </row>
    <row r="37" spans="1:37" x14ac:dyDescent="0.2">
      <c r="A37" s="8">
        <v>12150</v>
      </c>
      <c r="B37" s="8" t="s">
        <v>104</v>
      </c>
      <c r="C37" s="8" t="s">
        <v>42</v>
      </c>
      <c r="D37" s="29" t="s">
        <v>1</v>
      </c>
      <c r="E37" s="347"/>
      <c r="F37" s="1">
        <v>2420</v>
      </c>
      <c r="G37" s="1">
        <v>0</v>
      </c>
      <c r="H37" s="1">
        <v>2420</v>
      </c>
      <c r="I37" s="484"/>
      <c r="J37" s="1">
        <f>'[1]App 4-Recyclables'!H37</f>
        <v>0</v>
      </c>
      <c r="K37" s="1">
        <f>'[1]App 5-Organics'!H37+'[1]App 5-Organics'!L37</f>
        <v>0</v>
      </c>
      <c r="L37" s="485"/>
      <c r="M37" s="1">
        <f>'[1]App 4-Recyclables'!P37</f>
        <v>0</v>
      </c>
      <c r="N37" s="1">
        <f>'[1]App 5-Organics'!P37</f>
        <v>0</v>
      </c>
      <c r="O37" s="484"/>
      <c r="P37" s="1">
        <v>93</v>
      </c>
      <c r="Q37" s="1">
        <v>0</v>
      </c>
      <c r="R37" s="1">
        <v>93</v>
      </c>
      <c r="S37" s="484"/>
      <c r="T37" s="1">
        <f>'[1]App 4-Recyclables'!T37</f>
        <v>0</v>
      </c>
      <c r="U37" s="1">
        <f>'[1]App 5-Organics'!T37</f>
        <v>0</v>
      </c>
      <c r="V37" s="484"/>
      <c r="W37" s="1">
        <v>0</v>
      </c>
      <c r="X37" s="1">
        <v>0</v>
      </c>
      <c r="Y37" s="1">
        <v>0</v>
      </c>
      <c r="Z37" s="484"/>
      <c r="AA37" s="486">
        <f t="shared" si="1"/>
        <v>2513</v>
      </c>
      <c r="AB37" s="484"/>
      <c r="AC37" s="487">
        <f t="shared" ref="AC37:AE68" si="4">F37+P37+W37</f>
        <v>2513</v>
      </c>
      <c r="AD37" s="487">
        <f t="shared" si="4"/>
        <v>0</v>
      </c>
      <c r="AE37" s="487">
        <f t="shared" si="4"/>
        <v>2513</v>
      </c>
      <c r="AF37" s="487">
        <f t="shared" si="3"/>
        <v>0</v>
      </c>
      <c r="AG37" s="487">
        <f t="shared" si="0"/>
        <v>0</v>
      </c>
      <c r="AH37" s="4"/>
      <c r="AI37" s="247"/>
      <c r="AJ37" s="247"/>
      <c r="AK37" s="247"/>
    </row>
    <row r="38" spans="1:37" x14ac:dyDescent="0.2">
      <c r="A38" s="8">
        <v>12160</v>
      </c>
      <c r="B38" s="8" t="s">
        <v>105</v>
      </c>
      <c r="C38" s="8" t="s">
        <v>22</v>
      </c>
      <c r="D38" s="29" t="s">
        <v>1</v>
      </c>
      <c r="E38" s="347"/>
      <c r="F38" s="1">
        <v>1855.25</v>
      </c>
      <c r="G38" s="1">
        <v>0</v>
      </c>
      <c r="H38" s="1">
        <v>1855.25</v>
      </c>
      <c r="I38" s="484"/>
      <c r="J38" s="1">
        <f>'[1]App 4-Recyclables'!H38</f>
        <v>128.02000000000001</v>
      </c>
      <c r="K38" s="1">
        <f>'[1]App 5-Organics'!H38+'[1]App 5-Organics'!L38</f>
        <v>0</v>
      </c>
      <c r="L38" s="485"/>
      <c r="M38" s="1">
        <f>'[1]App 4-Recyclables'!P38</f>
        <v>218.28</v>
      </c>
      <c r="N38" s="1">
        <f>'[1]App 5-Organics'!P38</f>
        <v>0</v>
      </c>
      <c r="O38" s="484"/>
      <c r="P38" s="1">
        <v>161.71</v>
      </c>
      <c r="Q38" s="1">
        <v>0</v>
      </c>
      <c r="R38" s="1">
        <v>161.71</v>
      </c>
      <c r="S38" s="484"/>
      <c r="T38" s="1">
        <f>'[1]App 4-Recyclables'!T38</f>
        <v>0</v>
      </c>
      <c r="U38" s="1">
        <f>'[1]App 5-Organics'!T38</f>
        <v>0</v>
      </c>
      <c r="V38" s="484"/>
      <c r="W38" s="1">
        <v>0</v>
      </c>
      <c r="X38" s="1">
        <v>0</v>
      </c>
      <c r="Y38" s="1">
        <v>0</v>
      </c>
      <c r="Z38" s="484"/>
      <c r="AA38" s="486">
        <f t="shared" si="1"/>
        <v>2363.2600000000002</v>
      </c>
      <c r="AB38" s="484"/>
      <c r="AC38" s="487">
        <f t="shared" si="4"/>
        <v>2016.96</v>
      </c>
      <c r="AD38" s="487">
        <f t="shared" si="4"/>
        <v>0</v>
      </c>
      <c r="AE38" s="487">
        <f t="shared" si="4"/>
        <v>2016.96</v>
      </c>
      <c r="AF38" s="487">
        <f t="shared" si="3"/>
        <v>346.3</v>
      </c>
      <c r="AG38" s="487">
        <f t="shared" si="0"/>
        <v>0</v>
      </c>
      <c r="AH38" s="4"/>
      <c r="AI38" s="247">
        <v>894.84</v>
      </c>
      <c r="AJ38" s="247">
        <v>0</v>
      </c>
      <c r="AK38" s="247">
        <v>894</v>
      </c>
    </row>
    <row r="39" spans="1:37" x14ac:dyDescent="0.2">
      <c r="A39" s="8">
        <v>12350</v>
      </c>
      <c r="B39" s="8" t="s">
        <v>106</v>
      </c>
      <c r="C39" s="8" t="s">
        <v>42</v>
      </c>
      <c r="D39" s="29" t="s">
        <v>1</v>
      </c>
      <c r="E39" s="347"/>
      <c r="F39" s="1">
        <v>3060.7</v>
      </c>
      <c r="G39" s="1">
        <v>0</v>
      </c>
      <c r="H39" s="1">
        <v>3060.7</v>
      </c>
      <c r="I39" s="484"/>
      <c r="J39" s="1">
        <f>'[1]App 4-Recyclables'!H39</f>
        <v>437.49</v>
      </c>
      <c r="K39" s="1">
        <f>'[1]App 5-Organics'!H39+'[1]App 5-Organics'!L39</f>
        <v>0</v>
      </c>
      <c r="L39" s="485"/>
      <c r="M39" s="1">
        <f>'[1]App 4-Recyclables'!P39</f>
        <v>22.28</v>
      </c>
      <c r="N39" s="1">
        <f>'[1]App 5-Organics'!P39</f>
        <v>1294.1099999999999</v>
      </c>
      <c r="O39" s="484"/>
      <c r="P39" s="1">
        <v>1793.6399999999999</v>
      </c>
      <c r="Q39" s="1">
        <v>12.920000000000073</v>
      </c>
      <c r="R39" s="1">
        <v>1780.7199999999998</v>
      </c>
      <c r="S39" s="484"/>
      <c r="T39" s="1">
        <f>'[1]App 4-Recyclables'!T39</f>
        <v>0</v>
      </c>
      <c r="U39" s="1">
        <f>'[1]App 5-Organics'!T39</f>
        <v>0</v>
      </c>
      <c r="V39" s="484"/>
      <c r="W39" s="1">
        <v>0</v>
      </c>
      <c r="X39" s="1">
        <v>0</v>
      </c>
      <c r="Y39" s="1">
        <v>0</v>
      </c>
      <c r="Z39" s="484"/>
      <c r="AA39" s="486">
        <f t="shared" si="1"/>
        <v>6595.2999999999993</v>
      </c>
      <c r="AB39" s="484"/>
      <c r="AC39" s="487">
        <f t="shared" si="4"/>
        <v>4854.34</v>
      </c>
      <c r="AD39" s="487">
        <f t="shared" si="4"/>
        <v>12.920000000000073</v>
      </c>
      <c r="AE39" s="487">
        <f t="shared" si="4"/>
        <v>4841.42</v>
      </c>
      <c r="AF39" s="487">
        <f t="shared" si="3"/>
        <v>459.77</v>
      </c>
      <c r="AG39" s="487">
        <f t="shared" si="0"/>
        <v>1294.1099999999999</v>
      </c>
      <c r="AH39" s="4"/>
      <c r="AI39" s="247"/>
      <c r="AJ39" s="247"/>
      <c r="AK39" s="247"/>
    </row>
    <row r="40" spans="1:37" x14ac:dyDescent="0.2">
      <c r="A40" s="8">
        <v>12380</v>
      </c>
      <c r="B40" s="8" t="s">
        <v>54</v>
      </c>
      <c r="C40" s="8" t="s">
        <v>19</v>
      </c>
      <c r="D40" s="29" t="s">
        <v>3</v>
      </c>
      <c r="E40" s="347"/>
      <c r="F40" s="1">
        <v>67028</v>
      </c>
      <c r="G40" s="1">
        <v>9404</v>
      </c>
      <c r="H40" s="1">
        <v>57624</v>
      </c>
      <c r="I40" s="484"/>
      <c r="J40" s="1">
        <f>'[1]App 4-Recyclables'!H40</f>
        <v>1036.44</v>
      </c>
      <c r="K40" s="1">
        <f>'[1]App 5-Organics'!H40+'[1]App 5-Organics'!L40</f>
        <v>0</v>
      </c>
      <c r="L40" s="485"/>
      <c r="M40" s="1">
        <f>'[1]App 4-Recyclables'!P40</f>
        <v>0</v>
      </c>
      <c r="N40" s="1">
        <f>'[1]App 5-Organics'!P40</f>
        <v>0</v>
      </c>
      <c r="O40" s="484"/>
      <c r="P40" s="1">
        <v>40.6</v>
      </c>
      <c r="Q40" s="1">
        <v>40.6</v>
      </c>
      <c r="R40" s="1">
        <v>0</v>
      </c>
      <c r="S40" s="484"/>
      <c r="T40" s="1">
        <f>'[1]App 4-Recyclables'!T40</f>
        <v>0</v>
      </c>
      <c r="U40" s="1">
        <f>'[1]App 5-Organics'!T40</f>
        <v>0</v>
      </c>
      <c r="V40" s="484"/>
      <c r="W40" s="1">
        <v>9012</v>
      </c>
      <c r="X40" s="1">
        <v>9012</v>
      </c>
      <c r="Y40" s="1">
        <v>0</v>
      </c>
      <c r="Z40" s="484"/>
      <c r="AA40" s="486">
        <f t="shared" si="1"/>
        <v>58660.44</v>
      </c>
      <c r="AB40" s="484"/>
      <c r="AC40" s="487">
        <f t="shared" si="4"/>
        <v>76080.600000000006</v>
      </c>
      <c r="AD40" s="487">
        <f t="shared" si="4"/>
        <v>18456.599999999999</v>
      </c>
      <c r="AE40" s="487">
        <f t="shared" si="4"/>
        <v>57624</v>
      </c>
      <c r="AF40" s="487">
        <f t="shared" si="3"/>
        <v>1036.44</v>
      </c>
      <c r="AG40" s="487">
        <f t="shared" si="0"/>
        <v>0</v>
      </c>
      <c r="AH40" s="4"/>
      <c r="AI40" s="247">
        <v>0</v>
      </c>
      <c r="AJ40" s="247">
        <v>0</v>
      </c>
      <c r="AK40" s="247">
        <v>0</v>
      </c>
    </row>
    <row r="41" spans="1:37" x14ac:dyDescent="0.2">
      <c r="A41" s="8">
        <v>12390</v>
      </c>
      <c r="B41" s="8" t="s">
        <v>107</v>
      </c>
      <c r="C41" s="8" t="s">
        <v>42</v>
      </c>
      <c r="D41" s="29" t="s">
        <v>1</v>
      </c>
      <c r="E41" s="347"/>
      <c r="F41" s="1">
        <v>10039.98</v>
      </c>
      <c r="G41" s="1">
        <v>0</v>
      </c>
      <c r="H41" s="1">
        <v>10039.98</v>
      </c>
      <c r="I41" s="484"/>
      <c r="J41" s="1">
        <f>'[1]App 4-Recyclables'!H41</f>
        <v>286.43</v>
      </c>
      <c r="K41" s="1">
        <f>'[1]App 5-Organics'!H41+'[1]App 5-Organics'!L41</f>
        <v>23.36</v>
      </c>
      <c r="L41" s="485"/>
      <c r="M41" s="1">
        <f>'[1]App 4-Recyclables'!P41</f>
        <v>0</v>
      </c>
      <c r="N41" s="1">
        <f>'[1]App 5-Organics'!P41</f>
        <v>0</v>
      </c>
      <c r="O41" s="484"/>
      <c r="P41" s="1">
        <v>0</v>
      </c>
      <c r="Q41" s="1">
        <v>0</v>
      </c>
      <c r="R41" s="1">
        <v>0</v>
      </c>
      <c r="S41" s="484"/>
      <c r="T41" s="1">
        <f>'[1]App 4-Recyclables'!T41</f>
        <v>8.4600000000000009</v>
      </c>
      <c r="U41" s="1">
        <f>'[1]App 5-Organics'!T41</f>
        <v>0</v>
      </c>
      <c r="V41" s="484"/>
      <c r="W41" s="1">
        <v>805.74</v>
      </c>
      <c r="X41" s="1">
        <v>0</v>
      </c>
      <c r="Y41" s="1">
        <v>805.74</v>
      </c>
      <c r="Z41" s="484"/>
      <c r="AA41" s="486">
        <f t="shared" si="1"/>
        <v>11163.97</v>
      </c>
      <c r="AB41" s="484"/>
      <c r="AC41" s="487">
        <f t="shared" si="4"/>
        <v>10845.72</v>
      </c>
      <c r="AD41" s="487">
        <f t="shared" si="4"/>
        <v>0</v>
      </c>
      <c r="AE41" s="487">
        <f t="shared" si="4"/>
        <v>10845.72</v>
      </c>
      <c r="AF41" s="487">
        <f t="shared" si="3"/>
        <v>294.89</v>
      </c>
      <c r="AG41" s="487">
        <f t="shared" si="0"/>
        <v>23.36</v>
      </c>
      <c r="AH41" s="4"/>
      <c r="AI41" s="247">
        <v>1359.72</v>
      </c>
      <c r="AJ41" s="247">
        <v>0</v>
      </c>
      <c r="AK41" s="247">
        <v>1359.72</v>
      </c>
    </row>
    <row r="42" spans="1:37" x14ac:dyDescent="0.2">
      <c r="A42" s="8">
        <v>12700</v>
      </c>
      <c r="B42" s="8" t="s">
        <v>108</v>
      </c>
      <c r="C42" s="8" t="s">
        <v>25</v>
      </c>
      <c r="D42" s="29" t="s">
        <v>4</v>
      </c>
      <c r="E42" s="347"/>
      <c r="F42" s="1">
        <v>2668</v>
      </c>
      <c r="G42" s="1">
        <v>0</v>
      </c>
      <c r="H42" s="1">
        <v>2668</v>
      </c>
      <c r="I42" s="484"/>
      <c r="J42" s="1">
        <f>'[1]App 4-Recyclables'!H42</f>
        <v>89.98</v>
      </c>
      <c r="K42" s="1">
        <f>'[1]App 5-Organics'!H42+'[1]App 5-Organics'!L42</f>
        <v>0</v>
      </c>
      <c r="L42" s="485"/>
      <c r="M42" s="1">
        <f>'[1]App 4-Recyclables'!P42</f>
        <v>0</v>
      </c>
      <c r="N42" s="1">
        <f>'[1]App 5-Organics'!P42</f>
        <v>0</v>
      </c>
      <c r="O42" s="484"/>
      <c r="P42" s="1">
        <v>3822</v>
      </c>
      <c r="Q42" s="1">
        <v>31</v>
      </c>
      <c r="R42" s="1">
        <v>3791</v>
      </c>
      <c r="S42" s="484"/>
      <c r="T42" s="1">
        <f>'[1]App 4-Recyclables'!T42</f>
        <v>0</v>
      </c>
      <c r="U42" s="1">
        <f>'[1]App 5-Organics'!T42</f>
        <v>0</v>
      </c>
      <c r="V42" s="484"/>
      <c r="W42" s="1">
        <v>237</v>
      </c>
      <c r="X42" s="1">
        <v>0</v>
      </c>
      <c r="Y42" s="1">
        <v>237</v>
      </c>
      <c r="Z42" s="484"/>
      <c r="AA42" s="486">
        <f t="shared" si="1"/>
        <v>6785.98</v>
      </c>
      <c r="AB42" s="484"/>
      <c r="AC42" s="487">
        <f t="shared" si="4"/>
        <v>6727</v>
      </c>
      <c r="AD42" s="487">
        <f t="shared" si="4"/>
        <v>31</v>
      </c>
      <c r="AE42" s="487">
        <f t="shared" si="4"/>
        <v>6696</v>
      </c>
      <c r="AF42" s="487">
        <f t="shared" si="3"/>
        <v>89.98</v>
      </c>
      <c r="AG42" s="487">
        <f t="shared" si="0"/>
        <v>0</v>
      </c>
      <c r="AH42" s="4"/>
      <c r="AI42" s="247">
        <v>86</v>
      </c>
      <c r="AJ42" s="247">
        <v>0</v>
      </c>
      <c r="AK42" s="247">
        <v>86</v>
      </c>
    </row>
    <row r="43" spans="1:37" x14ac:dyDescent="0.2">
      <c r="A43" s="8">
        <v>12730</v>
      </c>
      <c r="B43" s="8" t="s">
        <v>109</v>
      </c>
      <c r="C43" s="8" t="s">
        <v>73</v>
      </c>
      <c r="D43" s="29" t="s">
        <v>1</v>
      </c>
      <c r="E43" s="347"/>
      <c r="F43" s="1">
        <v>2948.82</v>
      </c>
      <c r="G43" s="1">
        <v>0</v>
      </c>
      <c r="H43" s="1">
        <v>2948.82</v>
      </c>
      <c r="I43" s="484"/>
      <c r="J43" s="1">
        <f>'[1]App 4-Recyclables'!H43</f>
        <v>0</v>
      </c>
      <c r="K43" s="1">
        <f>'[1]App 5-Organics'!H43+'[1]App 5-Organics'!L43</f>
        <v>0</v>
      </c>
      <c r="L43" s="485"/>
      <c r="M43" s="1">
        <f>'[1]App 4-Recyclables'!P43</f>
        <v>29.39</v>
      </c>
      <c r="N43" s="1">
        <f>'[1]App 5-Organics'!P43</f>
        <v>735.48</v>
      </c>
      <c r="O43" s="484"/>
      <c r="P43" s="1">
        <v>987.32</v>
      </c>
      <c r="Q43" s="1">
        <v>0</v>
      </c>
      <c r="R43" s="1">
        <v>987.32</v>
      </c>
      <c r="S43" s="484"/>
      <c r="T43" s="1">
        <f>'[1]App 4-Recyclables'!T43</f>
        <v>0</v>
      </c>
      <c r="U43" s="1">
        <f>'[1]App 5-Organics'!T43</f>
        <v>0</v>
      </c>
      <c r="V43" s="484"/>
      <c r="W43" s="1">
        <v>0</v>
      </c>
      <c r="X43" s="1">
        <v>0</v>
      </c>
      <c r="Y43" s="1">
        <v>0</v>
      </c>
      <c r="Z43" s="484"/>
      <c r="AA43" s="486">
        <f t="shared" si="1"/>
        <v>4701.01</v>
      </c>
      <c r="AB43" s="484"/>
      <c r="AC43" s="487">
        <f t="shared" si="4"/>
        <v>3936.1400000000003</v>
      </c>
      <c r="AD43" s="487">
        <f t="shared" si="4"/>
        <v>0</v>
      </c>
      <c r="AE43" s="487">
        <f t="shared" si="4"/>
        <v>3936.1400000000003</v>
      </c>
      <c r="AF43" s="487">
        <f t="shared" si="3"/>
        <v>29.39</v>
      </c>
      <c r="AG43" s="487">
        <f t="shared" si="0"/>
        <v>735.48</v>
      </c>
      <c r="AH43" s="4"/>
      <c r="AI43" s="247">
        <v>75.209999999999994</v>
      </c>
      <c r="AJ43" s="247">
        <v>0</v>
      </c>
      <c r="AK43" s="247">
        <v>75.209999999999994</v>
      </c>
    </row>
    <row r="44" spans="1:37" x14ac:dyDescent="0.2">
      <c r="A44" s="8">
        <v>12750</v>
      </c>
      <c r="B44" s="8" t="s">
        <v>110</v>
      </c>
      <c r="C44" s="8" t="s">
        <v>74</v>
      </c>
      <c r="D44" s="29" t="s">
        <v>1</v>
      </c>
      <c r="E44" s="347"/>
      <c r="F44" s="1">
        <v>7243.6</v>
      </c>
      <c r="G44" s="1">
        <v>0</v>
      </c>
      <c r="H44" s="1">
        <v>7243.6</v>
      </c>
      <c r="I44" s="484"/>
      <c r="J44" s="1">
        <f>'[1]App 4-Recyclables'!H44</f>
        <v>549.55999999999995</v>
      </c>
      <c r="K44" s="1">
        <f>'[1]App 5-Organics'!H44+'[1]App 5-Organics'!L44</f>
        <v>6.2</v>
      </c>
      <c r="L44" s="485"/>
      <c r="M44" s="1">
        <f>'[1]App 4-Recyclables'!P44</f>
        <v>0</v>
      </c>
      <c r="N44" s="1">
        <f>'[1]App 5-Organics'!P44</f>
        <v>0</v>
      </c>
      <c r="O44" s="484"/>
      <c r="P44" s="1">
        <v>3817.6</v>
      </c>
      <c r="Q44" s="1">
        <v>145.49</v>
      </c>
      <c r="R44" s="1">
        <v>3672.11</v>
      </c>
      <c r="S44" s="484"/>
      <c r="T44" s="1">
        <f>'[1]App 4-Recyclables'!T44</f>
        <v>0</v>
      </c>
      <c r="U44" s="1">
        <f>'[1]App 5-Organics'!T44</f>
        <v>0</v>
      </c>
      <c r="V44" s="484"/>
      <c r="W44" s="1">
        <v>758.3</v>
      </c>
      <c r="X44" s="1">
        <v>0</v>
      </c>
      <c r="Y44" s="1">
        <v>758.3</v>
      </c>
      <c r="Z44" s="484"/>
      <c r="AA44" s="486">
        <f t="shared" si="1"/>
        <v>12229.769999999999</v>
      </c>
      <c r="AB44" s="484"/>
      <c r="AC44" s="487">
        <f t="shared" si="4"/>
        <v>11819.5</v>
      </c>
      <c r="AD44" s="487">
        <f t="shared" si="4"/>
        <v>145.49</v>
      </c>
      <c r="AE44" s="487">
        <f t="shared" si="4"/>
        <v>11674.01</v>
      </c>
      <c r="AF44" s="487">
        <f t="shared" si="3"/>
        <v>549.55999999999995</v>
      </c>
      <c r="AG44" s="487">
        <f t="shared" si="0"/>
        <v>6.2</v>
      </c>
      <c r="AH44" s="4"/>
      <c r="AI44" s="247">
        <v>3202</v>
      </c>
      <c r="AJ44" s="247">
        <v>0</v>
      </c>
      <c r="AK44" s="247">
        <v>3202</v>
      </c>
    </row>
    <row r="45" spans="1:37" x14ac:dyDescent="0.2">
      <c r="A45" s="8">
        <v>12850</v>
      </c>
      <c r="B45" s="8" t="s">
        <v>111</v>
      </c>
      <c r="C45" s="8" t="s">
        <v>19</v>
      </c>
      <c r="D45" s="29" t="s">
        <v>3</v>
      </c>
      <c r="E45" s="347"/>
      <c r="F45" s="1">
        <v>67378.880000000005</v>
      </c>
      <c r="G45" s="1">
        <v>0</v>
      </c>
      <c r="H45" s="1">
        <v>67378.880000000005</v>
      </c>
      <c r="I45" s="484"/>
      <c r="J45" s="1">
        <f>'[1]App 4-Recyclables'!H45</f>
        <v>2901.45</v>
      </c>
      <c r="K45" s="1">
        <f>'[1]App 5-Organics'!H45+'[1]App 5-Organics'!L45</f>
        <v>0</v>
      </c>
      <c r="L45" s="485"/>
      <c r="M45" s="1">
        <f>'[1]App 4-Recyclables'!P45</f>
        <v>0</v>
      </c>
      <c r="N45" s="1">
        <f>'[1]App 5-Organics'!P45</f>
        <v>0</v>
      </c>
      <c r="O45" s="484"/>
      <c r="P45" s="1">
        <v>159.14999999999998</v>
      </c>
      <c r="Q45" s="1">
        <v>77.989999999999995</v>
      </c>
      <c r="R45" s="1">
        <v>81.16</v>
      </c>
      <c r="S45" s="484"/>
      <c r="T45" s="1">
        <f>'[1]App 4-Recyclables'!T45</f>
        <v>0</v>
      </c>
      <c r="U45" s="1">
        <f>'[1]App 5-Organics'!T45</f>
        <v>0</v>
      </c>
      <c r="V45" s="484"/>
      <c r="W45" s="1">
        <v>9815.24</v>
      </c>
      <c r="X45" s="1">
        <v>0</v>
      </c>
      <c r="Y45" s="1">
        <v>9815.24</v>
      </c>
      <c r="Z45" s="484"/>
      <c r="AA45" s="486">
        <f t="shared" si="1"/>
        <v>80176.73000000001</v>
      </c>
      <c r="AB45" s="484"/>
      <c r="AC45" s="487">
        <f t="shared" si="4"/>
        <v>77353.27</v>
      </c>
      <c r="AD45" s="487">
        <f t="shared" si="4"/>
        <v>77.989999999999995</v>
      </c>
      <c r="AE45" s="487">
        <f t="shared" si="4"/>
        <v>77275.280000000013</v>
      </c>
      <c r="AF45" s="487">
        <f t="shared" si="3"/>
        <v>2901.45</v>
      </c>
      <c r="AG45" s="487">
        <f t="shared" si="0"/>
        <v>0</v>
      </c>
      <c r="AH45" s="4"/>
      <c r="AI45" s="247">
        <v>728.36</v>
      </c>
      <c r="AJ45" s="247">
        <v>0</v>
      </c>
      <c r="AK45" s="247">
        <v>728</v>
      </c>
    </row>
    <row r="46" spans="1:37" x14ac:dyDescent="0.2">
      <c r="A46" s="8">
        <v>12870</v>
      </c>
      <c r="B46" s="8" t="s">
        <v>112</v>
      </c>
      <c r="C46" s="8" t="s">
        <v>73</v>
      </c>
      <c r="D46" s="29" t="s">
        <v>1</v>
      </c>
      <c r="E46" s="347"/>
      <c r="F46" s="1">
        <v>1968</v>
      </c>
      <c r="G46" s="1">
        <v>0</v>
      </c>
      <c r="H46" s="1">
        <v>1968</v>
      </c>
      <c r="I46" s="484"/>
      <c r="J46" s="1">
        <f>'[1]App 4-Recyclables'!H46</f>
        <v>43.26</v>
      </c>
      <c r="K46" s="1">
        <f>'[1]App 5-Organics'!H46+'[1]App 5-Organics'!L46</f>
        <v>0</v>
      </c>
      <c r="L46" s="485"/>
      <c r="M46" s="1">
        <f>'[1]App 4-Recyclables'!P46</f>
        <v>0</v>
      </c>
      <c r="N46" s="1">
        <f>'[1]App 5-Organics'!P46</f>
        <v>0</v>
      </c>
      <c r="O46" s="484"/>
      <c r="P46" s="1">
        <v>354.04</v>
      </c>
      <c r="Q46" s="1">
        <v>0</v>
      </c>
      <c r="R46" s="1">
        <v>354.04</v>
      </c>
      <c r="S46" s="484"/>
      <c r="T46" s="1">
        <f>'[1]App 4-Recyclables'!T46</f>
        <v>0</v>
      </c>
      <c r="U46" s="1">
        <f>'[1]App 5-Organics'!T46</f>
        <v>0</v>
      </c>
      <c r="V46" s="484"/>
      <c r="W46" s="1">
        <v>0</v>
      </c>
      <c r="X46" s="1">
        <v>0</v>
      </c>
      <c r="Y46" s="1">
        <v>0</v>
      </c>
      <c r="Z46" s="484"/>
      <c r="AA46" s="486">
        <f t="shared" si="1"/>
        <v>2365.3000000000002</v>
      </c>
      <c r="AB46" s="484"/>
      <c r="AC46" s="487">
        <f t="shared" si="4"/>
        <v>2322.04</v>
      </c>
      <c r="AD46" s="487">
        <f t="shared" si="4"/>
        <v>0</v>
      </c>
      <c r="AE46" s="487">
        <f t="shared" si="4"/>
        <v>2322.04</v>
      </c>
      <c r="AF46" s="487">
        <f t="shared" si="3"/>
        <v>43.26</v>
      </c>
      <c r="AG46" s="487">
        <f t="shared" si="0"/>
        <v>0</v>
      </c>
      <c r="AH46" s="4"/>
      <c r="AI46" s="247"/>
      <c r="AJ46" s="247"/>
      <c r="AK46" s="247"/>
    </row>
    <row r="47" spans="1:37" x14ac:dyDescent="0.2">
      <c r="A47" s="8">
        <v>12900</v>
      </c>
      <c r="B47" s="8" t="s">
        <v>113</v>
      </c>
      <c r="C47" s="8" t="s">
        <v>42</v>
      </c>
      <c r="D47" s="29" t="s">
        <v>1</v>
      </c>
      <c r="E47" s="347"/>
      <c r="F47" s="1">
        <v>1351.92</v>
      </c>
      <c r="G47" s="1">
        <v>0</v>
      </c>
      <c r="H47" s="1">
        <v>1351.92</v>
      </c>
      <c r="I47" s="484"/>
      <c r="J47" s="1">
        <f>'[1]App 4-Recyclables'!H47</f>
        <v>41.51</v>
      </c>
      <c r="K47" s="1">
        <f>'[1]App 5-Organics'!H47+'[1]App 5-Organics'!L47</f>
        <v>0</v>
      </c>
      <c r="L47" s="485"/>
      <c r="M47" s="1">
        <f>'[1]App 4-Recyclables'!P47</f>
        <v>0</v>
      </c>
      <c r="N47" s="1">
        <f>'[1]App 5-Organics'!P47</f>
        <v>0</v>
      </c>
      <c r="O47" s="484"/>
      <c r="P47" s="1">
        <v>1719.85</v>
      </c>
      <c r="Q47" s="488">
        <v>25.259999999999998</v>
      </c>
      <c r="R47" s="488">
        <v>1694.59</v>
      </c>
      <c r="S47" s="484"/>
      <c r="T47" s="1">
        <f>'[1]App 4-Recyclables'!T47</f>
        <v>0</v>
      </c>
      <c r="U47" s="1">
        <f>'[1]App 5-Organics'!T47</f>
        <v>0</v>
      </c>
      <c r="V47" s="484"/>
      <c r="W47" s="1">
        <v>24.8</v>
      </c>
      <c r="X47" s="1">
        <v>0</v>
      </c>
      <c r="Y47" s="1">
        <v>24.8</v>
      </c>
      <c r="Z47" s="484"/>
      <c r="AA47" s="486">
        <f t="shared" si="1"/>
        <v>3112.82</v>
      </c>
      <c r="AB47" s="484"/>
      <c r="AC47" s="487">
        <f t="shared" si="4"/>
        <v>3096.57</v>
      </c>
      <c r="AD47" s="487">
        <f t="shared" si="4"/>
        <v>25.259999999999998</v>
      </c>
      <c r="AE47" s="487">
        <f t="shared" si="4"/>
        <v>3071.3100000000004</v>
      </c>
      <c r="AF47" s="487">
        <f t="shared" si="3"/>
        <v>41.51</v>
      </c>
      <c r="AG47" s="487">
        <f t="shared" si="0"/>
        <v>0</v>
      </c>
      <c r="AH47" s="4"/>
      <c r="AI47" s="247"/>
      <c r="AJ47" s="247"/>
      <c r="AK47" s="247"/>
    </row>
    <row r="48" spans="1:37" x14ac:dyDescent="0.2">
      <c r="A48" s="8">
        <v>12930</v>
      </c>
      <c r="B48" s="8" t="s">
        <v>55</v>
      </c>
      <c r="C48" s="8" t="s">
        <v>18</v>
      </c>
      <c r="D48" s="29" t="s">
        <v>3</v>
      </c>
      <c r="E48" s="347"/>
      <c r="F48" s="1">
        <v>32946</v>
      </c>
      <c r="G48" s="1">
        <v>2032.4799999999996</v>
      </c>
      <c r="H48" s="1">
        <v>30913.52</v>
      </c>
      <c r="I48" s="484"/>
      <c r="J48" s="1">
        <f>'[1]App 4-Recyclables'!H48</f>
        <v>1237.6400000000001</v>
      </c>
      <c r="K48" s="1">
        <f>'[1]App 5-Organics'!H48+'[1]App 5-Organics'!L48</f>
        <v>0</v>
      </c>
      <c r="L48" s="485"/>
      <c r="M48" s="1">
        <f>'[1]App 4-Recyclables'!P48</f>
        <v>0</v>
      </c>
      <c r="N48" s="1">
        <f>'[1]App 5-Organics'!P48</f>
        <v>0</v>
      </c>
      <c r="O48" s="484"/>
      <c r="P48" s="1">
        <v>104.65</v>
      </c>
      <c r="Q48" s="1">
        <v>104.65</v>
      </c>
      <c r="R48" s="1">
        <v>0</v>
      </c>
      <c r="S48" s="484"/>
      <c r="T48" s="1">
        <f>'[1]App 4-Recyclables'!T48</f>
        <v>0</v>
      </c>
      <c r="U48" s="1">
        <f>'[1]App 5-Organics'!T48</f>
        <v>0</v>
      </c>
      <c r="V48" s="484"/>
      <c r="W48" s="1">
        <v>6029.15</v>
      </c>
      <c r="X48" s="1">
        <v>0.1499999999996362</v>
      </c>
      <c r="Y48" s="1">
        <v>6029</v>
      </c>
      <c r="Z48" s="484"/>
      <c r="AA48" s="486">
        <f t="shared" si="1"/>
        <v>38180.160000000003</v>
      </c>
      <c r="AB48" s="484"/>
      <c r="AC48" s="487">
        <f t="shared" si="4"/>
        <v>39079.800000000003</v>
      </c>
      <c r="AD48" s="487">
        <f t="shared" si="4"/>
        <v>2137.2799999999993</v>
      </c>
      <c r="AE48" s="487">
        <f t="shared" si="4"/>
        <v>36942.520000000004</v>
      </c>
      <c r="AF48" s="487">
        <f t="shared" si="3"/>
        <v>1237.6400000000001</v>
      </c>
      <c r="AG48" s="487">
        <f t="shared" si="0"/>
        <v>0</v>
      </c>
      <c r="AH48" s="4"/>
      <c r="AI48" s="247">
        <v>0</v>
      </c>
      <c r="AJ48" s="247">
        <v>0</v>
      </c>
      <c r="AK48" s="247">
        <v>0</v>
      </c>
    </row>
    <row r="49" spans="1:37" x14ac:dyDescent="0.2">
      <c r="A49" s="8">
        <v>12950</v>
      </c>
      <c r="B49" s="8" t="s">
        <v>114</v>
      </c>
      <c r="C49" s="8" t="s">
        <v>42</v>
      </c>
      <c r="D49" s="29" t="s">
        <v>1</v>
      </c>
      <c r="E49" s="347"/>
      <c r="F49" s="1">
        <v>975.1</v>
      </c>
      <c r="G49" s="1">
        <v>0</v>
      </c>
      <c r="H49" s="1">
        <v>975.1</v>
      </c>
      <c r="I49" s="484"/>
      <c r="J49" s="1">
        <f>'[1]App 4-Recyclables'!H49</f>
        <v>1.2</v>
      </c>
      <c r="K49" s="1">
        <f>'[1]App 5-Organics'!H49+'[1]App 5-Organics'!L49</f>
        <v>0</v>
      </c>
      <c r="L49" s="485"/>
      <c r="M49" s="1">
        <f>'[1]App 4-Recyclables'!P49</f>
        <v>0</v>
      </c>
      <c r="N49" s="1">
        <f>'[1]App 5-Organics'!P49</f>
        <v>0</v>
      </c>
      <c r="O49" s="484"/>
      <c r="P49" s="1">
        <v>0</v>
      </c>
      <c r="Q49" s="1">
        <v>0</v>
      </c>
      <c r="R49" s="1">
        <v>0</v>
      </c>
      <c r="S49" s="484"/>
      <c r="T49" s="1">
        <f>'[1]App 4-Recyclables'!T49</f>
        <v>0</v>
      </c>
      <c r="U49" s="1">
        <f>'[1]App 5-Organics'!T49</f>
        <v>0</v>
      </c>
      <c r="V49" s="484"/>
      <c r="W49" s="1">
        <v>0</v>
      </c>
      <c r="X49" s="1">
        <v>0</v>
      </c>
      <c r="Y49" s="1">
        <v>0</v>
      </c>
      <c r="Z49" s="484"/>
      <c r="AA49" s="486">
        <f t="shared" si="1"/>
        <v>976.30000000000007</v>
      </c>
      <c r="AB49" s="484"/>
      <c r="AC49" s="487">
        <f t="shared" si="4"/>
        <v>975.1</v>
      </c>
      <c r="AD49" s="487">
        <f t="shared" si="4"/>
        <v>0</v>
      </c>
      <c r="AE49" s="487">
        <f t="shared" si="4"/>
        <v>975.1</v>
      </c>
      <c r="AF49" s="487">
        <f t="shared" si="3"/>
        <v>1.2</v>
      </c>
      <c r="AG49" s="487">
        <f t="shared" si="0"/>
        <v>0</v>
      </c>
      <c r="AH49" s="4"/>
      <c r="AI49" s="247"/>
      <c r="AJ49" s="247"/>
      <c r="AK49" s="247"/>
    </row>
    <row r="50" spans="1:37" x14ac:dyDescent="0.2">
      <c r="A50" s="8">
        <v>13010</v>
      </c>
      <c r="B50" s="8" t="s">
        <v>115</v>
      </c>
      <c r="C50" s="8" t="s">
        <v>17</v>
      </c>
      <c r="D50" s="29" t="s">
        <v>1</v>
      </c>
      <c r="E50" s="347"/>
      <c r="F50" s="1">
        <v>1670.51</v>
      </c>
      <c r="G50" s="1">
        <v>0</v>
      </c>
      <c r="H50" s="1">
        <v>1670.51</v>
      </c>
      <c r="I50" s="484"/>
      <c r="J50" s="1">
        <f>'[1]App 4-Recyclables'!H50</f>
        <v>19.28</v>
      </c>
      <c r="K50" s="1">
        <f>'[1]App 5-Organics'!H50+'[1]App 5-Organics'!L50</f>
        <v>0</v>
      </c>
      <c r="L50" s="485"/>
      <c r="M50" s="1">
        <f>'[1]App 4-Recyclables'!P50</f>
        <v>0</v>
      </c>
      <c r="N50" s="1">
        <f>'[1]App 5-Organics'!P50</f>
        <v>635.53</v>
      </c>
      <c r="O50" s="484"/>
      <c r="P50" s="1">
        <v>1183.26</v>
      </c>
      <c r="Q50" s="1">
        <v>0</v>
      </c>
      <c r="R50" s="1">
        <v>1183.26</v>
      </c>
      <c r="S50" s="484"/>
      <c r="T50" s="1">
        <f>'[1]App 4-Recyclables'!T50</f>
        <v>0</v>
      </c>
      <c r="U50" s="1">
        <f>'[1]App 5-Organics'!T50</f>
        <v>0</v>
      </c>
      <c r="V50" s="484"/>
      <c r="W50" s="1">
        <v>0</v>
      </c>
      <c r="X50" s="1">
        <v>0</v>
      </c>
      <c r="Y50" s="1">
        <v>0</v>
      </c>
      <c r="Z50" s="484"/>
      <c r="AA50" s="486">
        <f t="shared" si="1"/>
        <v>3508.58</v>
      </c>
      <c r="AB50" s="484"/>
      <c r="AC50" s="487">
        <f t="shared" si="4"/>
        <v>2853.77</v>
      </c>
      <c r="AD50" s="487">
        <f t="shared" si="4"/>
        <v>0</v>
      </c>
      <c r="AE50" s="487">
        <f t="shared" si="4"/>
        <v>2853.77</v>
      </c>
      <c r="AF50" s="487">
        <f t="shared" si="3"/>
        <v>19.28</v>
      </c>
      <c r="AG50" s="487">
        <f t="shared" si="0"/>
        <v>635.53</v>
      </c>
      <c r="AH50" s="4"/>
      <c r="AI50" s="247">
        <v>0</v>
      </c>
      <c r="AJ50" s="247">
        <v>0</v>
      </c>
      <c r="AK50" s="247">
        <v>0</v>
      </c>
    </row>
    <row r="51" spans="1:37" x14ac:dyDescent="0.2">
      <c r="A51" s="8">
        <v>13310</v>
      </c>
      <c r="B51" s="8" t="s">
        <v>116</v>
      </c>
      <c r="C51" s="8" t="s">
        <v>74</v>
      </c>
      <c r="D51" s="29" t="s">
        <v>1</v>
      </c>
      <c r="E51" s="347"/>
      <c r="F51" s="1">
        <v>4832</v>
      </c>
      <c r="G51" s="1">
        <v>0</v>
      </c>
      <c r="H51" s="1">
        <v>4832</v>
      </c>
      <c r="I51" s="484"/>
      <c r="J51" s="1">
        <f>'[1]App 4-Recyclables'!H51</f>
        <v>701</v>
      </c>
      <c r="K51" s="1">
        <f>'[1]App 5-Organics'!H51+'[1]App 5-Organics'!L51</f>
        <v>52</v>
      </c>
      <c r="L51" s="485"/>
      <c r="M51" s="1">
        <f>'[1]App 4-Recyclables'!P51</f>
        <v>954</v>
      </c>
      <c r="N51" s="1">
        <f>'[1]App 5-Organics'!P51</f>
        <v>7.76</v>
      </c>
      <c r="O51" s="484"/>
      <c r="P51" s="1">
        <v>10601.869999999999</v>
      </c>
      <c r="Q51" s="1">
        <v>0</v>
      </c>
      <c r="R51" s="1">
        <v>10601.869999999999</v>
      </c>
      <c r="S51" s="484"/>
      <c r="T51" s="1">
        <f>'[1]App 4-Recyclables'!T51</f>
        <v>0</v>
      </c>
      <c r="U51" s="1">
        <f>'[1]App 5-Organics'!T51</f>
        <v>0</v>
      </c>
      <c r="V51" s="484"/>
      <c r="W51" s="1">
        <v>395</v>
      </c>
      <c r="X51" s="1">
        <v>145</v>
      </c>
      <c r="Y51" s="1">
        <v>250</v>
      </c>
      <c r="Z51" s="484"/>
      <c r="AA51" s="486">
        <f t="shared" si="1"/>
        <v>17398.629999999997</v>
      </c>
      <c r="AB51" s="484"/>
      <c r="AC51" s="487">
        <f t="shared" si="4"/>
        <v>15828.869999999999</v>
      </c>
      <c r="AD51" s="487">
        <f t="shared" si="4"/>
        <v>145</v>
      </c>
      <c r="AE51" s="487">
        <f t="shared" si="4"/>
        <v>15683.869999999999</v>
      </c>
      <c r="AF51" s="487">
        <f t="shared" si="3"/>
        <v>1655</v>
      </c>
      <c r="AG51" s="487">
        <f t="shared" si="0"/>
        <v>59.76</v>
      </c>
      <c r="AH51" s="4"/>
      <c r="AI51" s="247">
        <v>570</v>
      </c>
      <c r="AJ51" s="247">
        <v>0</v>
      </c>
      <c r="AK51" s="247">
        <v>570</v>
      </c>
    </row>
    <row r="52" spans="1:37" x14ac:dyDescent="0.2">
      <c r="A52" s="8">
        <v>13340</v>
      </c>
      <c r="B52" s="8" t="s">
        <v>117</v>
      </c>
      <c r="C52" s="8" t="s">
        <v>22</v>
      </c>
      <c r="D52" s="29" t="s">
        <v>1</v>
      </c>
      <c r="E52" s="347"/>
      <c r="F52" s="1">
        <v>2450</v>
      </c>
      <c r="G52" s="1">
        <v>0</v>
      </c>
      <c r="H52" s="1">
        <v>2450</v>
      </c>
      <c r="I52" s="484"/>
      <c r="J52" s="1">
        <f>'[1]App 4-Recyclables'!H52</f>
        <v>23.96</v>
      </c>
      <c r="K52" s="1">
        <f>'[1]App 5-Organics'!H52+'[1]App 5-Organics'!L52</f>
        <v>0</v>
      </c>
      <c r="L52" s="485"/>
      <c r="M52" s="1">
        <f>'[1]App 4-Recyclables'!P52</f>
        <v>0</v>
      </c>
      <c r="N52" s="1">
        <f>'[1]App 5-Organics'!P52</f>
        <v>0</v>
      </c>
      <c r="O52" s="484"/>
      <c r="P52" s="1">
        <v>1988.5</v>
      </c>
      <c r="Q52" s="1">
        <v>6.5</v>
      </c>
      <c r="R52" s="1">
        <v>1982</v>
      </c>
      <c r="S52" s="484"/>
      <c r="T52" s="1">
        <f>'[1]App 4-Recyclables'!T52</f>
        <v>0</v>
      </c>
      <c r="U52" s="1">
        <f>'[1]App 5-Organics'!T52</f>
        <v>0</v>
      </c>
      <c r="V52" s="484"/>
      <c r="W52" s="1">
        <v>0</v>
      </c>
      <c r="X52" s="1">
        <v>0</v>
      </c>
      <c r="Y52" s="1">
        <v>0</v>
      </c>
      <c r="Z52" s="484"/>
      <c r="AA52" s="486">
        <f t="shared" si="1"/>
        <v>4455.96</v>
      </c>
      <c r="AB52" s="484"/>
      <c r="AC52" s="487">
        <f t="shared" si="4"/>
        <v>4438.5</v>
      </c>
      <c r="AD52" s="487">
        <f t="shared" si="4"/>
        <v>6.5</v>
      </c>
      <c r="AE52" s="487">
        <f t="shared" si="4"/>
        <v>4432</v>
      </c>
      <c r="AF52" s="487">
        <f t="shared" si="3"/>
        <v>23.96</v>
      </c>
      <c r="AG52" s="487">
        <f t="shared" si="0"/>
        <v>0</v>
      </c>
      <c r="AH52" s="4"/>
      <c r="AI52" s="247">
        <v>200</v>
      </c>
      <c r="AJ52" s="247">
        <v>0</v>
      </c>
      <c r="AK52" s="247">
        <v>200</v>
      </c>
    </row>
    <row r="53" spans="1:37" x14ac:dyDescent="0.2">
      <c r="A53" s="8">
        <v>13450</v>
      </c>
      <c r="B53" s="8" t="s">
        <v>118</v>
      </c>
      <c r="C53" s="8" t="s">
        <v>75</v>
      </c>
      <c r="D53" s="29" t="s">
        <v>1</v>
      </c>
      <c r="E53" s="347"/>
      <c r="F53" s="1">
        <v>9636</v>
      </c>
      <c r="G53" s="1">
        <v>0</v>
      </c>
      <c r="H53" s="1">
        <v>9636</v>
      </c>
      <c r="I53" s="484"/>
      <c r="J53" s="1">
        <f>'[1]App 4-Recyclables'!H53</f>
        <v>46.38</v>
      </c>
      <c r="K53" s="1">
        <f>'[1]App 5-Organics'!H53+'[1]App 5-Organics'!L53</f>
        <v>0</v>
      </c>
      <c r="L53" s="485"/>
      <c r="M53" s="1">
        <f>'[1]App 4-Recyclables'!P53</f>
        <v>0</v>
      </c>
      <c r="N53" s="1">
        <f>'[1]App 5-Organics'!P53</f>
        <v>0</v>
      </c>
      <c r="O53" s="484"/>
      <c r="P53" s="1">
        <v>15</v>
      </c>
      <c r="Q53" s="1">
        <v>15</v>
      </c>
      <c r="R53" s="1">
        <v>0</v>
      </c>
      <c r="S53" s="484"/>
      <c r="T53" s="1">
        <f>'[1]App 4-Recyclables'!T53</f>
        <v>0</v>
      </c>
      <c r="U53" s="1">
        <f>'[1]App 5-Organics'!T53</f>
        <v>0</v>
      </c>
      <c r="V53" s="484"/>
      <c r="W53" s="1">
        <v>0</v>
      </c>
      <c r="X53" s="1">
        <v>0</v>
      </c>
      <c r="Y53" s="1">
        <v>0</v>
      </c>
      <c r="Z53" s="484"/>
      <c r="AA53" s="486">
        <f t="shared" si="1"/>
        <v>9682.3799999999992</v>
      </c>
      <c r="AB53" s="484"/>
      <c r="AC53" s="487">
        <f t="shared" si="4"/>
        <v>9651</v>
      </c>
      <c r="AD53" s="487">
        <f t="shared" si="4"/>
        <v>15</v>
      </c>
      <c r="AE53" s="487">
        <f t="shared" si="4"/>
        <v>9636</v>
      </c>
      <c r="AF53" s="487">
        <f t="shared" si="3"/>
        <v>46.38</v>
      </c>
      <c r="AG53" s="487">
        <f t="shared" si="0"/>
        <v>0</v>
      </c>
      <c r="AH53" s="4"/>
      <c r="AI53" s="247"/>
      <c r="AJ53" s="247"/>
      <c r="AK53" s="247"/>
    </row>
    <row r="54" spans="1:37" x14ac:dyDescent="0.2">
      <c r="A54" s="8">
        <v>13550</v>
      </c>
      <c r="B54" s="8" t="s">
        <v>77</v>
      </c>
      <c r="C54" s="8" t="s">
        <v>17</v>
      </c>
      <c r="D54" s="29" t="s">
        <v>1</v>
      </c>
      <c r="E54" s="347"/>
      <c r="F54" s="1">
        <v>2640.66</v>
      </c>
      <c r="G54" s="1">
        <v>0</v>
      </c>
      <c r="H54" s="1">
        <v>2640.66</v>
      </c>
      <c r="I54" s="484"/>
      <c r="J54" s="1">
        <f>'[1]App 4-Recyclables'!H54</f>
        <v>173.36</v>
      </c>
      <c r="K54" s="1">
        <f>'[1]App 5-Organics'!H54+'[1]App 5-Organics'!L54</f>
        <v>58.5</v>
      </c>
      <c r="L54" s="485"/>
      <c r="M54" s="1">
        <f>'[1]App 4-Recyclables'!P54</f>
        <v>19.3</v>
      </c>
      <c r="N54" s="1">
        <f>'[1]App 5-Organics'!P54</f>
        <v>20</v>
      </c>
      <c r="O54" s="484"/>
      <c r="P54" s="1">
        <v>2202.29</v>
      </c>
      <c r="Q54" s="1">
        <v>25.990000000000002</v>
      </c>
      <c r="R54" s="1">
        <v>2176.3000000000002</v>
      </c>
      <c r="S54" s="484"/>
      <c r="T54" s="1">
        <f>'[1]App 4-Recyclables'!T54</f>
        <v>0</v>
      </c>
      <c r="U54" s="1">
        <f>'[1]App 5-Organics'!T54</f>
        <v>0</v>
      </c>
      <c r="V54" s="484"/>
      <c r="W54" s="1">
        <v>0</v>
      </c>
      <c r="X54" s="1">
        <v>0</v>
      </c>
      <c r="Y54" s="1">
        <v>0</v>
      </c>
      <c r="Z54" s="484"/>
      <c r="AA54" s="486">
        <f t="shared" si="1"/>
        <v>5088.1200000000008</v>
      </c>
      <c r="AB54" s="484"/>
      <c r="AC54" s="487">
        <f t="shared" si="4"/>
        <v>4842.95</v>
      </c>
      <c r="AD54" s="487">
        <f t="shared" si="4"/>
        <v>25.990000000000002</v>
      </c>
      <c r="AE54" s="487">
        <f t="shared" si="4"/>
        <v>4816.96</v>
      </c>
      <c r="AF54" s="487">
        <f t="shared" si="3"/>
        <v>192.66000000000003</v>
      </c>
      <c r="AG54" s="487">
        <f t="shared" si="0"/>
        <v>78.5</v>
      </c>
      <c r="AH54" s="4"/>
      <c r="AI54" s="247">
        <v>1051.5</v>
      </c>
      <c r="AJ54" s="247">
        <v>0</v>
      </c>
      <c r="AK54" s="247">
        <v>1051.5</v>
      </c>
    </row>
    <row r="55" spans="1:37" x14ac:dyDescent="0.2">
      <c r="A55" s="8">
        <v>13660</v>
      </c>
      <c r="B55" s="8" t="s">
        <v>119</v>
      </c>
      <c r="C55" s="8" t="s">
        <v>17</v>
      </c>
      <c r="D55" s="29" t="s">
        <v>1</v>
      </c>
      <c r="E55" s="347"/>
      <c r="F55" s="1">
        <v>513.9</v>
      </c>
      <c r="G55" s="1">
        <v>0</v>
      </c>
      <c r="H55" s="1">
        <v>513.9</v>
      </c>
      <c r="I55" s="484"/>
      <c r="J55" s="1">
        <f>'[1]App 4-Recyclables'!H55</f>
        <v>23.71</v>
      </c>
      <c r="K55" s="1">
        <f>'[1]App 5-Organics'!H55+'[1]App 5-Organics'!L55</f>
        <v>0.95</v>
      </c>
      <c r="L55" s="485"/>
      <c r="M55" s="1">
        <f>'[1]App 4-Recyclables'!P55</f>
        <v>0</v>
      </c>
      <c r="N55" s="1">
        <f>'[1]App 5-Organics'!P55</f>
        <v>405.53</v>
      </c>
      <c r="O55" s="484"/>
      <c r="P55" s="1">
        <v>417.35</v>
      </c>
      <c r="Q55" s="1">
        <v>0.2</v>
      </c>
      <c r="R55" s="1">
        <v>417.15000000000003</v>
      </c>
      <c r="S55" s="484"/>
      <c r="T55" s="1">
        <f>'[1]App 4-Recyclables'!T55</f>
        <v>0</v>
      </c>
      <c r="U55" s="1">
        <f>'[1]App 5-Organics'!T55</f>
        <v>0</v>
      </c>
      <c r="V55" s="484"/>
      <c r="W55" s="1">
        <v>0</v>
      </c>
      <c r="X55" s="1">
        <v>0</v>
      </c>
      <c r="Y55" s="1">
        <v>0</v>
      </c>
      <c r="Z55" s="484"/>
      <c r="AA55" s="486">
        <f t="shared" si="1"/>
        <v>1361.24</v>
      </c>
      <c r="AB55" s="484"/>
      <c r="AC55" s="487">
        <f t="shared" si="4"/>
        <v>931.25</v>
      </c>
      <c r="AD55" s="487">
        <f t="shared" si="4"/>
        <v>0.2</v>
      </c>
      <c r="AE55" s="487">
        <f t="shared" si="4"/>
        <v>931.05</v>
      </c>
      <c r="AF55" s="487">
        <f t="shared" si="3"/>
        <v>23.71</v>
      </c>
      <c r="AG55" s="487">
        <f t="shared" si="0"/>
        <v>406.47999999999996</v>
      </c>
      <c r="AH55" s="4"/>
      <c r="AI55" s="247">
        <v>8</v>
      </c>
      <c r="AJ55" s="247">
        <v>0</v>
      </c>
      <c r="AK55" s="247">
        <v>8</v>
      </c>
    </row>
    <row r="56" spans="1:37" x14ac:dyDescent="0.2">
      <c r="A56" s="8">
        <v>13800</v>
      </c>
      <c r="B56" s="8" t="s">
        <v>120</v>
      </c>
      <c r="C56" s="8" t="s">
        <v>19</v>
      </c>
      <c r="D56" s="29" t="s">
        <v>2</v>
      </c>
      <c r="E56" s="347"/>
      <c r="F56" s="1">
        <v>19975</v>
      </c>
      <c r="G56" s="1">
        <v>0</v>
      </c>
      <c r="H56" s="1">
        <v>19975</v>
      </c>
      <c r="I56" s="484"/>
      <c r="J56" s="1">
        <f>'[1]App 4-Recyclables'!H56</f>
        <v>506.03</v>
      </c>
      <c r="K56" s="1">
        <f>'[1]App 5-Organics'!H56+'[1]App 5-Organics'!L56</f>
        <v>0</v>
      </c>
      <c r="L56" s="485"/>
      <c r="M56" s="1">
        <f>'[1]App 4-Recyclables'!P56</f>
        <v>0</v>
      </c>
      <c r="N56" s="1">
        <f>'[1]App 5-Organics'!P56</f>
        <v>0</v>
      </c>
      <c r="O56" s="484"/>
      <c r="P56" s="1">
        <v>2305</v>
      </c>
      <c r="Q56" s="1">
        <v>1025</v>
      </c>
      <c r="R56" s="1">
        <v>1280</v>
      </c>
      <c r="S56" s="484"/>
      <c r="T56" s="1">
        <f>'[1]App 4-Recyclables'!T56</f>
        <v>0</v>
      </c>
      <c r="U56" s="1">
        <f>'[1]App 5-Organics'!T56</f>
        <v>0</v>
      </c>
      <c r="V56" s="484"/>
      <c r="W56" s="1">
        <v>637</v>
      </c>
      <c r="X56" s="1">
        <v>0</v>
      </c>
      <c r="Y56" s="1">
        <v>637</v>
      </c>
      <c r="Z56" s="484"/>
      <c r="AA56" s="486">
        <f t="shared" si="1"/>
        <v>22398.03</v>
      </c>
      <c r="AB56" s="484"/>
      <c r="AC56" s="487">
        <f t="shared" si="4"/>
        <v>22917</v>
      </c>
      <c r="AD56" s="487">
        <f t="shared" si="4"/>
        <v>1025</v>
      </c>
      <c r="AE56" s="487">
        <f t="shared" si="4"/>
        <v>21892</v>
      </c>
      <c r="AF56" s="487">
        <f t="shared" si="3"/>
        <v>506.03</v>
      </c>
      <c r="AG56" s="487">
        <f t="shared" si="0"/>
        <v>0</v>
      </c>
      <c r="AH56" s="4"/>
      <c r="AI56" s="247">
        <v>1012</v>
      </c>
      <c r="AJ56" s="247">
        <v>0</v>
      </c>
      <c r="AK56" s="247">
        <v>1012</v>
      </c>
    </row>
    <row r="57" spans="1:37" x14ac:dyDescent="0.2">
      <c r="A57" s="8">
        <v>13850</v>
      </c>
      <c r="B57" s="8" t="s">
        <v>121</v>
      </c>
      <c r="C57" s="8" t="s">
        <v>75</v>
      </c>
      <c r="D57" s="29" t="s">
        <v>1</v>
      </c>
      <c r="E57" s="347"/>
      <c r="F57" s="1">
        <v>1122</v>
      </c>
      <c r="G57" s="1">
        <v>0</v>
      </c>
      <c r="H57" s="1">
        <v>1122</v>
      </c>
      <c r="I57" s="484"/>
      <c r="J57" s="1">
        <f>'[1]App 4-Recyclables'!H57</f>
        <v>0</v>
      </c>
      <c r="K57" s="1">
        <f>'[1]App 5-Organics'!H57+'[1]App 5-Organics'!L57</f>
        <v>0</v>
      </c>
      <c r="L57" s="485"/>
      <c r="M57" s="1">
        <f>'[1]App 4-Recyclables'!P57</f>
        <v>0</v>
      </c>
      <c r="N57" s="1">
        <f>'[1]App 5-Organics'!P57</f>
        <v>0</v>
      </c>
      <c r="O57" s="484"/>
      <c r="P57" s="1">
        <v>2494.3399999999997</v>
      </c>
      <c r="Q57" s="1">
        <v>5.2</v>
      </c>
      <c r="R57" s="1">
        <v>2489.14</v>
      </c>
      <c r="S57" s="484"/>
      <c r="T57" s="1">
        <f>'[1]App 4-Recyclables'!T57</f>
        <v>0</v>
      </c>
      <c r="U57" s="1">
        <f>'[1]App 5-Organics'!T57</f>
        <v>0</v>
      </c>
      <c r="V57" s="484"/>
      <c r="W57" s="1">
        <v>0</v>
      </c>
      <c r="X57" s="1">
        <v>0</v>
      </c>
      <c r="Y57" s="1">
        <v>0</v>
      </c>
      <c r="Z57" s="484"/>
      <c r="AA57" s="486">
        <f t="shared" si="1"/>
        <v>3611.14</v>
      </c>
      <c r="AB57" s="484"/>
      <c r="AC57" s="487">
        <f t="shared" si="4"/>
        <v>3616.3399999999997</v>
      </c>
      <c r="AD57" s="487">
        <f t="shared" si="4"/>
        <v>5.2</v>
      </c>
      <c r="AE57" s="487">
        <f t="shared" si="4"/>
        <v>3611.14</v>
      </c>
      <c r="AF57" s="487">
        <f t="shared" si="3"/>
        <v>0</v>
      </c>
      <c r="AG57" s="487">
        <f t="shared" si="0"/>
        <v>0</v>
      </c>
      <c r="AH57" s="4"/>
      <c r="AI57" s="247">
        <v>0</v>
      </c>
      <c r="AJ57" s="247">
        <v>0</v>
      </c>
      <c r="AK57" s="247">
        <v>0</v>
      </c>
    </row>
    <row r="58" spans="1:37" x14ac:dyDescent="0.2">
      <c r="A58" s="8">
        <v>13910</v>
      </c>
      <c r="B58" s="8" t="s">
        <v>122</v>
      </c>
      <c r="C58" s="8" t="s">
        <v>74</v>
      </c>
      <c r="D58" s="29" t="s">
        <v>1</v>
      </c>
      <c r="E58" s="347"/>
      <c r="F58" s="1">
        <v>6892</v>
      </c>
      <c r="G58" s="1">
        <v>0</v>
      </c>
      <c r="H58" s="1">
        <v>6892</v>
      </c>
      <c r="I58" s="484"/>
      <c r="J58" s="1">
        <f>'[1]App 4-Recyclables'!H58</f>
        <v>5</v>
      </c>
      <c r="K58" s="1">
        <f>'[1]App 5-Organics'!H58+'[1]App 5-Organics'!L58</f>
        <v>0</v>
      </c>
      <c r="L58" s="485"/>
      <c r="M58" s="1">
        <f>'[1]App 4-Recyclables'!P58</f>
        <v>0</v>
      </c>
      <c r="N58" s="1">
        <f>'[1]App 5-Organics'!P58</f>
        <v>0</v>
      </c>
      <c r="O58" s="484"/>
      <c r="P58" s="1">
        <v>0</v>
      </c>
      <c r="Q58" s="1">
        <v>0</v>
      </c>
      <c r="R58" s="1">
        <v>0</v>
      </c>
      <c r="S58" s="484"/>
      <c r="T58" s="1">
        <f>'[1]App 4-Recyclables'!T58</f>
        <v>0</v>
      </c>
      <c r="U58" s="1">
        <f>'[1]App 5-Organics'!T58</f>
        <v>0</v>
      </c>
      <c r="V58" s="484"/>
      <c r="W58" s="1">
        <v>0</v>
      </c>
      <c r="X58" s="1">
        <v>0</v>
      </c>
      <c r="Y58" s="1">
        <v>0</v>
      </c>
      <c r="Z58" s="484"/>
      <c r="AA58" s="486">
        <f t="shared" si="1"/>
        <v>6897</v>
      </c>
      <c r="AB58" s="484"/>
      <c r="AC58" s="487">
        <f t="shared" si="4"/>
        <v>6892</v>
      </c>
      <c r="AD58" s="487">
        <f t="shared" si="4"/>
        <v>0</v>
      </c>
      <c r="AE58" s="487">
        <f t="shared" si="4"/>
        <v>6892</v>
      </c>
      <c r="AF58" s="487">
        <f t="shared" si="3"/>
        <v>5</v>
      </c>
      <c r="AG58" s="487">
        <f t="shared" si="0"/>
        <v>0</v>
      </c>
      <c r="AH58" s="4"/>
      <c r="AI58" s="247">
        <v>0</v>
      </c>
      <c r="AJ58" s="247">
        <v>0</v>
      </c>
      <c r="AK58" s="247">
        <v>0</v>
      </c>
    </row>
    <row r="59" spans="1:37" x14ac:dyDescent="0.2">
      <c r="A59" s="8">
        <v>14000</v>
      </c>
      <c r="B59" s="8" t="s">
        <v>123</v>
      </c>
      <c r="C59" s="8" t="s">
        <v>26</v>
      </c>
      <c r="D59" s="29" t="s">
        <v>3</v>
      </c>
      <c r="E59" s="347"/>
      <c r="F59" s="1">
        <v>32543</v>
      </c>
      <c r="G59" s="1">
        <v>0</v>
      </c>
      <c r="H59" s="1">
        <v>32543</v>
      </c>
      <c r="I59" s="484"/>
      <c r="J59" s="1">
        <f>'[1]App 4-Recyclables'!H59</f>
        <v>979</v>
      </c>
      <c r="K59" s="1">
        <f>'[1]App 5-Organics'!H59+'[1]App 5-Organics'!L59</f>
        <v>0</v>
      </c>
      <c r="L59" s="485"/>
      <c r="M59" s="1">
        <f>'[1]App 4-Recyclables'!P59</f>
        <v>0</v>
      </c>
      <c r="N59" s="1">
        <f>'[1]App 5-Organics'!P59</f>
        <v>0</v>
      </c>
      <c r="O59" s="484"/>
      <c r="P59" s="1">
        <v>243</v>
      </c>
      <c r="Q59" s="1">
        <v>243</v>
      </c>
      <c r="R59" s="1">
        <v>0</v>
      </c>
      <c r="S59" s="484"/>
      <c r="T59" s="1">
        <f>'[1]App 4-Recyclables'!T59</f>
        <v>0</v>
      </c>
      <c r="U59" s="1">
        <f>'[1]App 5-Organics'!T59</f>
        <v>0</v>
      </c>
      <c r="V59" s="484"/>
      <c r="W59" s="1">
        <v>5753</v>
      </c>
      <c r="X59" s="1">
        <v>0</v>
      </c>
      <c r="Y59" s="1">
        <v>5753</v>
      </c>
      <c r="Z59" s="484"/>
      <c r="AA59" s="486">
        <f t="shared" si="1"/>
        <v>39275</v>
      </c>
      <c r="AB59" s="484"/>
      <c r="AC59" s="487">
        <f t="shared" si="4"/>
        <v>38539</v>
      </c>
      <c r="AD59" s="487">
        <f t="shared" si="4"/>
        <v>243</v>
      </c>
      <c r="AE59" s="487">
        <f t="shared" si="4"/>
        <v>38296</v>
      </c>
      <c r="AF59" s="487">
        <f t="shared" si="3"/>
        <v>979</v>
      </c>
      <c r="AG59" s="487">
        <f t="shared" si="0"/>
        <v>0</v>
      </c>
      <c r="AH59" s="4"/>
      <c r="AI59" s="247">
        <v>0</v>
      </c>
      <c r="AJ59" s="247">
        <v>0</v>
      </c>
      <c r="AK59" s="247">
        <v>0</v>
      </c>
    </row>
    <row r="60" spans="1:37" x14ac:dyDescent="0.2">
      <c r="A60" s="8">
        <v>14100</v>
      </c>
      <c r="B60" s="8" t="s">
        <v>56</v>
      </c>
      <c r="C60" s="8" t="s">
        <v>26</v>
      </c>
      <c r="D60" s="29" t="s">
        <v>3</v>
      </c>
      <c r="E60" s="347"/>
      <c r="F60" s="1">
        <v>3091</v>
      </c>
      <c r="G60" s="1">
        <v>538.11999999999989</v>
      </c>
      <c r="H60" s="1">
        <v>2552.88</v>
      </c>
      <c r="I60" s="484"/>
      <c r="J60" s="1">
        <f>'[1]App 4-Recyclables'!H60</f>
        <v>34.01</v>
      </c>
      <c r="K60" s="1">
        <f>'[1]App 5-Organics'!H60+'[1]App 5-Organics'!L60</f>
        <v>0</v>
      </c>
      <c r="L60" s="485"/>
      <c r="M60" s="1">
        <f>'[1]App 4-Recyclables'!P60</f>
        <v>0</v>
      </c>
      <c r="N60" s="1">
        <f>'[1]App 5-Organics'!P60</f>
        <v>0</v>
      </c>
      <c r="O60" s="484"/>
      <c r="P60" s="1">
        <v>0</v>
      </c>
      <c r="Q60" s="1">
        <v>0</v>
      </c>
      <c r="R60" s="1">
        <v>0</v>
      </c>
      <c r="S60" s="484"/>
      <c r="T60" s="1">
        <f>'[1]App 4-Recyclables'!T60</f>
        <v>0</v>
      </c>
      <c r="U60" s="1">
        <f>'[1]App 5-Organics'!T60</f>
        <v>0</v>
      </c>
      <c r="V60" s="484"/>
      <c r="W60" s="1">
        <v>269.89</v>
      </c>
      <c r="X60" s="1">
        <v>0</v>
      </c>
      <c r="Y60" s="1">
        <v>269.89</v>
      </c>
      <c r="Z60" s="484"/>
      <c r="AA60" s="486">
        <f t="shared" si="1"/>
        <v>2856.78</v>
      </c>
      <c r="AB60" s="484"/>
      <c r="AC60" s="487">
        <f t="shared" si="4"/>
        <v>3360.89</v>
      </c>
      <c r="AD60" s="487">
        <f t="shared" si="4"/>
        <v>538.11999999999989</v>
      </c>
      <c r="AE60" s="487">
        <f t="shared" si="4"/>
        <v>2822.77</v>
      </c>
      <c r="AF60" s="487">
        <f t="shared" si="3"/>
        <v>34.01</v>
      </c>
      <c r="AG60" s="487">
        <f t="shared" si="0"/>
        <v>0</v>
      </c>
      <c r="AH60" s="4"/>
      <c r="AI60" s="247"/>
      <c r="AJ60" s="247"/>
      <c r="AK60" s="247"/>
    </row>
    <row r="61" spans="1:37" x14ac:dyDescent="0.2">
      <c r="A61" s="8">
        <v>14170</v>
      </c>
      <c r="B61" s="8" t="s">
        <v>57</v>
      </c>
      <c r="C61" s="8" t="s">
        <v>18</v>
      </c>
      <c r="D61" s="29" t="s">
        <v>3</v>
      </c>
      <c r="E61" s="347"/>
      <c r="F61" s="1">
        <v>37629.58</v>
      </c>
      <c r="G61" s="1">
        <v>5013.739999999998</v>
      </c>
      <c r="H61" s="1">
        <v>32615.840000000004</v>
      </c>
      <c r="I61" s="484"/>
      <c r="J61" s="1">
        <f>'[1]App 4-Recyclables'!H61</f>
        <v>1143</v>
      </c>
      <c r="K61" s="1">
        <f>'[1]App 5-Organics'!H61+'[1]App 5-Organics'!L61</f>
        <v>0</v>
      </c>
      <c r="L61" s="485"/>
      <c r="M61" s="1">
        <f>'[1]App 4-Recyclables'!P61</f>
        <v>0</v>
      </c>
      <c r="N61" s="1">
        <f>'[1]App 5-Organics'!P61</f>
        <v>0</v>
      </c>
      <c r="O61" s="484"/>
      <c r="P61" s="1">
        <v>153.43</v>
      </c>
      <c r="Q61" s="1">
        <v>153.43</v>
      </c>
      <c r="R61" s="1">
        <v>0</v>
      </c>
      <c r="S61" s="484"/>
      <c r="T61" s="1">
        <f>'[1]App 4-Recyclables'!T61</f>
        <v>0</v>
      </c>
      <c r="U61" s="1">
        <f>'[1]App 5-Organics'!T61</f>
        <v>0</v>
      </c>
      <c r="V61" s="484"/>
      <c r="W61" s="1">
        <v>3533</v>
      </c>
      <c r="X61" s="1">
        <v>3533</v>
      </c>
      <c r="Y61" s="1">
        <v>0</v>
      </c>
      <c r="Z61" s="484"/>
      <c r="AA61" s="486">
        <f t="shared" si="1"/>
        <v>33758.840000000004</v>
      </c>
      <c r="AB61" s="484"/>
      <c r="AC61" s="487">
        <f t="shared" si="4"/>
        <v>41316.01</v>
      </c>
      <c r="AD61" s="487">
        <f t="shared" si="4"/>
        <v>8700.1699999999983</v>
      </c>
      <c r="AE61" s="487">
        <f t="shared" si="4"/>
        <v>32615.840000000004</v>
      </c>
      <c r="AF61" s="487">
        <f t="shared" si="3"/>
        <v>1143</v>
      </c>
      <c r="AG61" s="487">
        <f t="shared" si="0"/>
        <v>0</v>
      </c>
      <c r="AH61" s="4"/>
      <c r="AI61" s="247">
        <v>0</v>
      </c>
      <c r="AJ61" s="247">
        <v>0</v>
      </c>
      <c r="AK61" s="247">
        <v>0</v>
      </c>
    </row>
    <row r="62" spans="1:37" x14ac:dyDescent="0.2">
      <c r="A62" s="8">
        <v>14200</v>
      </c>
      <c r="B62" s="8" t="s">
        <v>124</v>
      </c>
      <c r="C62" s="8" t="s">
        <v>17</v>
      </c>
      <c r="D62" s="29" t="s">
        <v>1</v>
      </c>
      <c r="E62" s="347"/>
      <c r="F62" s="1">
        <v>5035</v>
      </c>
      <c r="G62" s="1">
        <v>0</v>
      </c>
      <c r="H62" s="1">
        <v>5035</v>
      </c>
      <c r="I62" s="484"/>
      <c r="J62" s="1">
        <f>'[1]App 4-Recyclables'!H62</f>
        <v>297</v>
      </c>
      <c r="K62" s="1">
        <f>'[1]App 5-Organics'!H62+'[1]App 5-Organics'!L62</f>
        <v>0</v>
      </c>
      <c r="L62" s="485"/>
      <c r="M62" s="1">
        <f>'[1]App 4-Recyclables'!P62</f>
        <v>22</v>
      </c>
      <c r="N62" s="1">
        <f>'[1]App 5-Organics'!P62</f>
        <v>0</v>
      </c>
      <c r="O62" s="484"/>
      <c r="P62" s="1">
        <v>3078.2799999999997</v>
      </c>
      <c r="Q62" s="1">
        <v>788.28000000000009</v>
      </c>
      <c r="R62" s="1">
        <v>2290</v>
      </c>
      <c r="S62" s="484"/>
      <c r="T62" s="1">
        <f>'[1]App 4-Recyclables'!T62</f>
        <v>0</v>
      </c>
      <c r="U62" s="1">
        <f>'[1]App 5-Organics'!T62</f>
        <v>0</v>
      </c>
      <c r="V62" s="484"/>
      <c r="W62" s="1">
        <v>0</v>
      </c>
      <c r="X62" s="1">
        <v>0</v>
      </c>
      <c r="Y62" s="1">
        <v>0</v>
      </c>
      <c r="Z62" s="484"/>
      <c r="AA62" s="486">
        <f t="shared" si="1"/>
        <v>7644</v>
      </c>
      <c r="AB62" s="484"/>
      <c r="AC62" s="487">
        <f t="shared" si="4"/>
        <v>8113.28</v>
      </c>
      <c r="AD62" s="487">
        <f t="shared" si="4"/>
        <v>788.28000000000009</v>
      </c>
      <c r="AE62" s="487">
        <f t="shared" si="4"/>
        <v>7325</v>
      </c>
      <c r="AF62" s="487">
        <f t="shared" si="3"/>
        <v>319</v>
      </c>
      <c r="AG62" s="487">
        <f t="shared" si="0"/>
        <v>0</v>
      </c>
      <c r="AH62" s="4"/>
      <c r="AI62" s="247">
        <v>683</v>
      </c>
      <c r="AJ62" s="247">
        <v>0</v>
      </c>
      <c r="AK62" s="247">
        <v>683</v>
      </c>
    </row>
    <row r="63" spans="1:37" x14ac:dyDescent="0.2">
      <c r="A63" s="8">
        <v>14300</v>
      </c>
      <c r="B63" s="8" t="s">
        <v>125</v>
      </c>
      <c r="C63" s="8" t="s">
        <v>22</v>
      </c>
      <c r="D63" s="29" t="s">
        <v>1</v>
      </c>
      <c r="E63" s="347"/>
      <c r="F63" s="1">
        <v>878.5</v>
      </c>
      <c r="G63" s="1">
        <v>0</v>
      </c>
      <c r="H63" s="1">
        <v>878.5</v>
      </c>
      <c r="I63" s="484"/>
      <c r="J63" s="1">
        <f>'[1]App 4-Recyclables'!H63</f>
        <v>14.56</v>
      </c>
      <c r="K63" s="1">
        <f>'[1]App 5-Organics'!H63+'[1]App 5-Organics'!L63</f>
        <v>0</v>
      </c>
      <c r="L63" s="485"/>
      <c r="M63" s="1">
        <f>'[1]App 4-Recyclables'!P63</f>
        <v>0</v>
      </c>
      <c r="N63" s="1">
        <f>'[1]App 5-Organics'!P63</f>
        <v>0</v>
      </c>
      <c r="O63" s="484"/>
      <c r="P63" s="1">
        <v>645</v>
      </c>
      <c r="Q63" s="1">
        <v>5</v>
      </c>
      <c r="R63" s="1">
        <v>640</v>
      </c>
      <c r="S63" s="484"/>
      <c r="T63" s="1">
        <f>'[1]App 4-Recyclables'!T63</f>
        <v>0</v>
      </c>
      <c r="U63" s="1">
        <f>'[1]App 5-Organics'!T63</f>
        <v>0</v>
      </c>
      <c r="V63" s="484"/>
      <c r="W63" s="1">
        <v>0</v>
      </c>
      <c r="X63" s="1">
        <v>0</v>
      </c>
      <c r="Y63" s="1">
        <v>0</v>
      </c>
      <c r="Z63" s="484"/>
      <c r="AA63" s="486">
        <f t="shared" si="1"/>
        <v>1533.06</v>
      </c>
      <c r="AB63" s="484"/>
      <c r="AC63" s="487">
        <f t="shared" si="4"/>
        <v>1523.5</v>
      </c>
      <c r="AD63" s="487">
        <f t="shared" si="4"/>
        <v>5</v>
      </c>
      <c r="AE63" s="487">
        <f t="shared" si="4"/>
        <v>1518.5</v>
      </c>
      <c r="AF63" s="487">
        <f t="shared" si="3"/>
        <v>14.56</v>
      </c>
      <c r="AG63" s="487">
        <f t="shared" si="0"/>
        <v>0</v>
      </c>
      <c r="AH63" s="4"/>
      <c r="AI63" s="247">
        <v>117</v>
      </c>
      <c r="AJ63" s="247">
        <v>0</v>
      </c>
      <c r="AK63" s="247">
        <v>117</v>
      </c>
    </row>
    <row r="64" spans="1:37" x14ac:dyDescent="0.2">
      <c r="A64" s="8">
        <v>14350</v>
      </c>
      <c r="B64" s="8" t="s">
        <v>126</v>
      </c>
      <c r="C64" s="8" t="s">
        <v>43</v>
      </c>
      <c r="D64" s="29" t="s">
        <v>4</v>
      </c>
      <c r="E64" s="347"/>
      <c r="F64" s="1">
        <v>5223</v>
      </c>
      <c r="G64" s="1">
        <v>0</v>
      </c>
      <c r="H64" s="1">
        <v>5223</v>
      </c>
      <c r="I64" s="484"/>
      <c r="J64" s="1">
        <f>'[1]App 4-Recyclables'!H64</f>
        <v>91.85</v>
      </c>
      <c r="K64" s="1">
        <f>'[1]App 5-Organics'!H64+'[1]App 5-Organics'!L64</f>
        <v>0</v>
      </c>
      <c r="L64" s="485"/>
      <c r="M64" s="1">
        <f>'[1]App 4-Recyclables'!P64</f>
        <v>30</v>
      </c>
      <c r="N64" s="1">
        <f>'[1]App 5-Organics'!P64</f>
        <v>5</v>
      </c>
      <c r="O64" s="484"/>
      <c r="P64" s="1">
        <v>6726.85</v>
      </c>
      <c r="Q64" s="1">
        <v>108.84</v>
      </c>
      <c r="R64" s="1">
        <v>6618.01</v>
      </c>
      <c r="S64" s="484"/>
      <c r="T64" s="1">
        <f>'[1]App 4-Recyclables'!T64</f>
        <v>0</v>
      </c>
      <c r="U64" s="1">
        <f>'[1]App 5-Organics'!T64</f>
        <v>0</v>
      </c>
      <c r="V64" s="484"/>
      <c r="W64" s="1">
        <v>0</v>
      </c>
      <c r="X64" s="1">
        <v>0</v>
      </c>
      <c r="Y64" s="1">
        <v>0</v>
      </c>
      <c r="Z64" s="484"/>
      <c r="AA64" s="486">
        <f t="shared" si="1"/>
        <v>11967.86</v>
      </c>
      <c r="AB64" s="484"/>
      <c r="AC64" s="487">
        <f t="shared" si="4"/>
        <v>11949.85</v>
      </c>
      <c r="AD64" s="487">
        <f t="shared" si="4"/>
        <v>108.84</v>
      </c>
      <c r="AE64" s="487">
        <f t="shared" si="4"/>
        <v>11841.01</v>
      </c>
      <c r="AF64" s="487">
        <f t="shared" si="3"/>
        <v>121.85</v>
      </c>
      <c r="AG64" s="487">
        <f t="shared" si="0"/>
        <v>5</v>
      </c>
      <c r="AH64" s="4"/>
      <c r="AI64" s="247">
        <v>1848.62</v>
      </c>
      <c r="AJ64" s="247">
        <v>0</v>
      </c>
      <c r="AK64" s="247">
        <v>1848.62</v>
      </c>
    </row>
    <row r="65" spans="1:37" x14ac:dyDescent="0.2">
      <c r="A65" s="8">
        <v>14400</v>
      </c>
      <c r="B65" s="8" t="s">
        <v>127</v>
      </c>
      <c r="C65" s="8" t="s">
        <v>41</v>
      </c>
      <c r="D65" s="29" t="s">
        <v>2</v>
      </c>
      <c r="E65" s="347"/>
      <c r="F65" s="1">
        <v>3021.53</v>
      </c>
      <c r="G65" s="1">
        <v>0</v>
      </c>
      <c r="H65" s="1">
        <v>3021.53</v>
      </c>
      <c r="I65" s="484"/>
      <c r="J65" s="1">
        <f>'[1]App 4-Recyclables'!H65</f>
        <v>114.5</v>
      </c>
      <c r="K65" s="1">
        <f>'[1]App 5-Organics'!H65+'[1]App 5-Organics'!L65</f>
        <v>22.59</v>
      </c>
      <c r="L65" s="485"/>
      <c r="M65" s="1">
        <f>'[1]App 4-Recyclables'!P65</f>
        <v>0</v>
      </c>
      <c r="N65" s="1">
        <f>'[1]App 5-Organics'!P65</f>
        <v>0</v>
      </c>
      <c r="O65" s="484"/>
      <c r="P65" s="1">
        <v>640.04</v>
      </c>
      <c r="Q65" s="1">
        <v>500.88</v>
      </c>
      <c r="R65" s="1">
        <v>139.16</v>
      </c>
      <c r="S65" s="484"/>
      <c r="T65" s="1">
        <f>'[1]App 4-Recyclables'!T65</f>
        <v>0</v>
      </c>
      <c r="U65" s="1">
        <f>'[1]App 5-Organics'!T65</f>
        <v>0</v>
      </c>
      <c r="V65" s="484"/>
      <c r="W65" s="1">
        <v>2.13</v>
      </c>
      <c r="X65" s="1">
        <v>2.13</v>
      </c>
      <c r="Y65" s="1">
        <v>0</v>
      </c>
      <c r="Z65" s="484"/>
      <c r="AA65" s="486">
        <f t="shared" si="1"/>
        <v>3297.78</v>
      </c>
      <c r="AB65" s="484"/>
      <c r="AC65" s="487">
        <f t="shared" si="4"/>
        <v>3663.7000000000003</v>
      </c>
      <c r="AD65" s="487">
        <f t="shared" si="4"/>
        <v>503.01</v>
      </c>
      <c r="AE65" s="487">
        <f t="shared" si="4"/>
        <v>3160.69</v>
      </c>
      <c r="AF65" s="487">
        <f t="shared" si="3"/>
        <v>114.5</v>
      </c>
      <c r="AG65" s="487">
        <f t="shared" si="0"/>
        <v>22.59</v>
      </c>
      <c r="AH65" s="4"/>
      <c r="AI65" s="247">
        <v>139.35</v>
      </c>
      <c r="AJ65" s="247">
        <v>79</v>
      </c>
      <c r="AK65" s="247">
        <v>60.35</v>
      </c>
    </row>
    <row r="66" spans="1:37" x14ac:dyDescent="0.2">
      <c r="A66" s="8">
        <v>14500</v>
      </c>
      <c r="B66" s="8" t="s">
        <v>58</v>
      </c>
      <c r="C66" s="8" t="s">
        <v>26</v>
      </c>
      <c r="D66" s="29" t="s">
        <v>3</v>
      </c>
      <c r="E66" s="347"/>
      <c r="F66" s="1">
        <v>23344.05</v>
      </c>
      <c r="G66" s="1">
        <v>4274.75</v>
      </c>
      <c r="H66" s="1">
        <v>19069.3</v>
      </c>
      <c r="I66" s="484"/>
      <c r="J66" s="1">
        <f>'[1]App 4-Recyclables'!H66</f>
        <v>429.63</v>
      </c>
      <c r="K66" s="1">
        <f>'[1]App 5-Organics'!H66+'[1]App 5-Organics'!L66</f>
        <v>0</v>
      </c>
      <c r="L66" s="485"/>
      <c r="M66" s="1">
        <f>'[1]App 4-Recyclables'!P66</f>
        <v>0</v>
      </c>
      <c r="N66" s="1">
        <f>'[1]App 5-Organics'!P66</f>
        <v>0</v>
      </c>
      <c r="O66" s="484"/>
      <c r="P66" s="1">
        <v>126.88000000000001</v>
      </c>
      <c r="Q66" s="1">
        <v>126.88000000000001</v>
      </c>
      <c r="R66" s="1">
        <v>0</v>
      </c>
      <c r="S66" s="484"/>
      <c r="T66" s="1">
        <f>'[1]App 4-Recyclables'!T66</f>
        <v>0</v>
      </c>
      <c r="U66" s="1">
        <f>'[1]App 5-Organics'!T66</f>
        <v>0</v>
      </c>
      <c r="V66" s="484"/>
      <c r="W66" s="1">
        <v>3376.22</v>
      </c>
      <c r="X66" s="1">
        <v>0</v>
      </c>
      <c r="Y66" s="1">
        <v>3376.22</v>
      </c>
      <c r="Z66" s="484"/>
      <c r="AA66" s="486">
        <f t="shared" si="1"/>
        <v>22875.15</v>
      </c>
      <c r="AB66" s="484"/>
      <c r="AC66" s="487">
        <f t="shared" si="4"/>
        <v>26847.15</v>
      </c>
      <c r="AD66" s="487">
        <f t="shared" si="4"/>
        <v>4401.63</v>
      </c>
      <c r="AE66" s="487">
        <f t="shared" si="4"/>
        <v>22445.52</v>
      </c>
      <c r="AF66" s="487">
        <f t="shared" si="3"/>
        <v>429.63</v>
      </c>
      <c r="AG66" s="487">
        <f t="shared" si="0"/>
        <v>0</v>
      </c>
      <c r="AH66" s="4"/>
      <c r="AI66" s="247">
        <v>282.66000000000003</v>
      </c>
      <c r="AJ66" s="247">
        <v>0</v>
      </c>
      <c r="AK66" s="247">
        <v>282.66000000000003</v>
      </c>
    </row>
    <row r="67" spans="1:37" x14ac:dyDescent="0.2">
      <c r="A67" s="8">
        <v>14550</v>
      </c>
      <c r="B67" s="8" t="s">
        <v>128</v>
      </c>
      <c r="C67" s="8" t="s">
        <v>20</v>
      </c>
      <c r="D67" s="29" t="s">
        <v>4</v>
      </c>
      <c r="E67" s="347"/>
      <c r="F67" s="1">
        <v>1021.16</v>
      </c>
      <c r="G67" s="1">
        <v>0</v>
      </c>
      <c r="H67" s="1">
        <v>1021.16</v>
      </c>
      <c r="I67" s="484"/>
      <c r="J67" s="1">
        <f>'[1]App 4-Recyclables'!H67</f>
        <v>15.28</v>
      </c>
      <c r="K67" s="1">
        <f>'[1]App 5-Organics'!H67+'[1]App 5-Organics'!L67</f>
        <v>0</v>
      </c>
      <c r="L67" s="485"/>
      <c r="M67" s="1">
        <f>'[1]App 4-Recyclables'!P67</f>
        <v>0</v>
      </c>
      <c r="N67" s="1">
        <f>'[1]App 5-Organics'!P67</f>
        <v>0</v>
      </c>
      <c r="O67" s="484"/>
      <c r="P67" s="1">
        <v>1723.92</v>
      </c>
      <c r="Q67" s="1">
        <v>10.93</v>
      </c>
      <c r="R67" s="1">
        <v>1712.99</v>
      </c>
      <c r="S67" s="484"/>
      <c r="T67" s="1">
        <f>'[1]App 4-Recyclables'!T67</f>
        <v>0</v>
      </c>
      <c r="U67" s="1">
        <f>'[1]App 5-Organics'!T67</f>
        <v>0</v>
      </c>
      <c r="V67" s="484"/>
      <c r="W67" s="1">
        <v>0</v>
      </c>
      <c r="X67" s="1">
        <v>0</v>
      </c>
      <c r="Y67" s="1">
        <v>0</v>
      </c>
      <c r="Z67" s="484"/>
      <c r="AA67" s="486">
        <f t="shared" si="1"/>
        <v>2749.4300000000003</v>
      </c>
      <c r="AB67" s="484"/>
      <c r="AC67" s="487">
        <f t="shared" si="4"/>
        <v>2745.08</v>
      </c>
      <c r="AD67" s="487">
        <f t="shared" si="4"/>
        <v>10.93</v>
      </c>
      <c r="AE67" s="487">
        <f t="shared" si="4"/>
        <v>2734.15</v>
      </c>
      <c r="AF67" s="487">
        <f t="shared" si="3"/>
        <v>15.28</v>
      </c>
      <c r="AG67" s="487">
        <f t="shared" si="0"/>
        <v>0</v>
      </c>
      <c r="AH67" s="4"/>
      <c r="AI67" s="247"/>
      <c r="AJ67" s="247"/>
      <c r="AK67" s="247"/>
    </row>
    <row r="68" spans="1:37" x14ac:dyDescent="0.2">
      <c r="A68" s="8">
        <v>14600</v>
      </c>
      <c r="B68" s="8" t="s">
        <v>129</v>
      </c>
      <c r="C68" s="8" t="s">
        <v>42</v>
      </c>
      <c r="D68" s="29" t="s">
        <v>1</v>
      </c>
      <c r="E68" s="347"/>
      <c r="F68" s="1">
        <v>1095</v>
      </c>
      <c r="G68" s="1">
        <v>0</v>
      </c>
      <c r="H68" s="1">
        <v>1095</v>
      </c>
      <c r="I68" s="484"/>
      <c r="J68" s="1">
        <f>'[1]App 4-Recyclables'!H68</f>
        <v>12</v>
      </c>
      <c r="K68" s="1">
        <f>'[1]App 5-Organics'!H68+'[1]App 5-Organics'!L68</f>
        <v>0</v>
      </c>
      <c r="L68" s="485"/>
      <c r="M68" s="1">
        <f>'[1]App 4-Recyclables'!P68</f>
        <v>5</v>
      </c>
      <c r="N68" s="1">
        <f>'[1]App 5-Organics'!P68</f>
        <v>1510</v>
      </c>
      <c r="O68" s="484"/>
      <c r="P68" s="1">
        <v>4960</v>
      </c>
      <c r="Q68" s="1">
        <v>10</v>
      </c>
      <c r="R68" s="1">
        <v>4950</v>
      </c>
      <c r="S68" s="484"/>
      <c r="T68" s="1">
        <f>'[1]App 4-Recyclables'!T68</f>
        <v>0</v>
      </c>
      <c r="U68" s="1">
        <f>'[1]App 5-Organics'!T68</f>
        <v>0</v>
      </c>
      <c r="V68" s="484"/>
      <c r="W68" s="1">
        <v>0</v>
      </c>
      <c r="X68" s="1">
        <v>0</v>
      </c>
      <c r="Y68" s="1">
        <v>0</v>
      </c>
      <c r="Z68" s="484"/>
      <c r="AA68" s="486">
        <f t="shared" si="1"/>
        <v>7572</v>
      </c>
      <c r="AB68" s="484"/>
      <c r="AC68" s="487">
        <f t="shared" si="4"/>
        <v>6055</v>
      </c>
      <c r="AD68" s="487">
        <f t="shared" si="4"/>
        <v>10</v>
      </c>
      <c r="AE68" s="487">
        <f t="shared" si="4"/>
        <v>6045</v>
      </c>
      <c r="AF68" s="487">
        <f t="shared" si="3"/>
        <v>17</v>
      </c>
      <c r="AG68" s="487">
        <f t="shared" si="0"/>
        <v>1510</v>
      </c>
      <c r="AH68" s="4"/>
      <c r="AI68" s="247">
        <v>0</v>
      </c>
      <c r="AJ68" s="247">
        <v>0</v>
      </c>
      <c r="AK68" s="247">
        <v>0</v>
      </c>
    </row>
    <row r="69" spans="1:37" x14ac:dyDescent="0.2">
      <c r="A69" s="8">
        <v>14650</v>
      </c>
      <c r="B69" s="8" t="s">
        <v>130</v>
      </c>
      <c r="C69" s="8" t="s">
        <v>25</v>
      </c>
      <c r="D69" s="29" t="s">
        <v>2</v>
      </c>
      <c r="E69" s="347"/>
      <c r="F69" s="1">
        <v>36545</v>
      </c>
      <c r="G69" s="1">
        <v>0</v>
      </c>
      <c r="H69" s="1">
        <v>36545</v>
      </c>
      <c r="I69" s="484"/>
      <c r="J69" s="1">
        <f>'[1]App 4-Recyclables'!H69</f>
        <v>2050</v>
      </c>
      <c r="K69" s="1">
        <f>'[1]App 5-Organics'!H69+'[1]App 5-Organics'!L69</f>
        <v>775</v>
      </c>
      <c r="L69" s="485"/>
      <c r="M69" s="1">
        <f>'[1]App 4-Recyclables'!P69</f>
        <v>0</v>
      </c>
      <c r="N69" s="1">
        <f>'[1]App 5-Organics'!P69</f>
        <v>0</v>
      </c>
      <c r="O69" s="484"/>
      <c r="P69" s="1">
        <v>4072</v>
      </c>
      <c r="Q69" s="1">
        <v>114</v>
      </c>
      <c r="R69" s="1">
        <v>3958</v>
      </c>
      <c r="S69" s="484"/>
      <c r="T69" s="1">
        <f>'[1]App 4-Recyclables'!T69</f>
        <v>0</v>
      </c>
      <c r="U69" s="1">
        <f>'[1]App 5-Organics'!T69</f>
        <v>0</v>
      </c>
      <c r="V69" s="484"/>
      <c r="W69" s="1">
        <v>11222</v>
      </c>
      <c r="X69" s="1">
        <v>0</v>
      </c>
      <c r="Y69" s="1">
        <v>11222</v>
      </c>
      <c r="Z69" s="484"/>
      <c r="AA69" s="486">
        <f t="shared" si="1"/>
        <v>54550</v>
      </c>
      <c r="AB69" s="484"/>
      <c r="AC69" s="487">
        <f t="shared" ref="AC69:AE100" si="5">F69+P69+W69</f>
        <v>51839</v>
      </c>
      <c r="AD69" s="487">
        <f t="shared" si="5"/>
        <v>114</v>
      </c>
      <c r="AE69" s="487">
        <f t="shared" si="5"/>
        <v>51725</v>
      </c>
      <c r="AF69" s="487">
        <f t="shared" si="3"/>
        <v>2050</v>
      </c>
      <c r="AG69" s="487">
        <f t="shared" si="3"/>
        <v>775</v>
      </c>
      <c r="AH69" s="4"/>
      <c r="AI69" s="247">
        <v>1080</v>
      </c>
      <c r="AJ69" s="247">
        <v>0</v>
      </c>
      <c r="AK69" s="247">
        <v>1080</v>
      </c>
    </row>
    <row r="70" spans="1:37" x14ac:dyDescent="0.2">
      <c r="A70" s="8">
        <v>14700</v>
      </c>
      <c r="B70" s="8" t="s">
        <v>59</v>
      </c>
      <c r="C70" s="8" t="s">
        <v>26</v>
      </c>
      <c r="D70" s="29" t="s">
        <v>3</v>
      </c>
      <c r="E70" s="347"/>
      <c r="F70" s="1">
        <v>7205</v>
      </c>
      <c r="G70" s="1">
        <v>1072</v>
      </c>
      <c r="H70" s="1">
        <v>6133</v>
      </c>
      <c r="I70" s="484"/>
      <c r="J70" s="1">
        <f>'[1]App 4-Recyclables'!H70</f>
        <v>119.62</v>
      </c>
      <c r="K70" s="1">
        <f>'[1]App 5-Organics'!H70+'[1]App 5-Organics'!L70</f>
        <v>0</v>
      </c>
      <c r="L70" s="485"/>
      <c r="M70" s="1">
        <f>'[1]App 4-Recyclables'!P70</f>
        <v>0</v>
      </c>
      <c r="N70" s="1">
        <f>'[1]App 5-Organics'!P70</f>
        <v>0</v>
      </c>
      <c r="O70" s="484"/>
      <c r="P70" s="1">
        <v>0</v>
      </c>
      <c r="Q70" s="1">
        <v>0</v>
      </c>
      <c r="R70" s="1">
        <v>0</v>
      </c>
      <c r="S70" s="484"/>
      <c r="T70" s="1">
        <f>'[1]App 4-Recyclables'!T70</f>
        <v>0</v>
      </c>
      <c r="U70" s="1">
        <f>'[1]App 5-Organics'!T70</f>
        <v>0</v>
      </c>
      <c r="V70" s="484"/>
      <c r="W70" s="1">
        <v>1110</v>
      </c>
      <c r="X70" s="1">
        <v>89</v>
      </c>
      <c r="Y70" s="1">
        <v>1021</v>
      </c>
      <c r="Z70" s="484"/>
      <c r="AA70" s="486">
        <f t="shared" ref="AA70:AA132" si="6">H70+J70+K70+M70+N70+R70+T70+U70+Y70</f>
        <v>7273.62</v>
      </c>
      <c r="AB70" s="484"/>
      <c r="AC70" s="487">
        <f t="shared" si="5"/>
        <v>8315</v>
      </c>
      <c r="AD70" s="487">
        <f t="shared" si="5"/>
        <v>1161</v>
      </c>
      <c r="AE70" s="487">
        <f t="shared" si="5"/>
        <v>7154</v>
      </c>
      <c r="AF70" s="487">
        <f t="shared" ref="AF70:AG101" si="7">J70+M70+T70</f>
        <v>119.62</v>
      </c>
      <c r="AG70" s="487">
        <f t="shared" si="7"/>
        <v>0</v>
      </c>
      <c r="AH70" s="4"/>
      <c r="AI70" s="247"/>
      <c r="AJ70" s="247"/>
      <c r="AK70" s="247"/>
    </row>
    <row r="71" spans="1:37" x14ac:dyDescent="0.2">
      <c r="A71" s="8">
        <v>14750</v>
      </c>
      <c r="B71" s="8" t="s">
        <v>131</v>
      </c>
      <c r="C71" s="8" t="s">
        <v>75</v>
      </c>
      <c r="D71" s="29" t="s">
        <v>1</v>
      </c>
      <c r="E71" s="347"/>
      <c r="F71" s="1">
        <v>2960.96</v>
      </c>
      <c r="G71" s="1">
        <v>0</v>
      </c>
      <c r="H71" s="1">
        <v>2960.96</v>
      </c>
      <c r="I71" s="484"/>
      <c r="J71" s="1">
        <f>'[1]App 4-Recyclables'!H71</f>
        <v>23.38</v>
      </c>
      <c r="K71" s="1">
        <f>'[1]App 5-Organics'!H71+'[1]App 5-Organics'!L71</f>
        <v>0</v>
      </c>
      <c r="L71" s="485"/>
      <c r="M71" s="1">
        <f>'[1]App 4-Recyclables'!P71</f>
        <v>0</v>
      </c>
      <c r="N71" s="1">
        <f>'[1]App 5-Organics'!P71</f>
        <v>0</v>
      </c>
      <c r="O71" s="484"/>
      <c r="P71" s="1">
        <v>0</v>
      </c>
      <c r="Q71" s="1">
        <v>0</v>
      </c>
      <c r="R71" s="1">
        <v>0</v>
      </c>
      <c r="S71" s="484"/>
      <c r="T71" s="1">
        <f>'[1]App 4-Recyclables'!T71</f>
        <v>0</v>
      </c>
      <c r="U71" s="1">
        <f>'[1]App 5-Organics'!T71</f>
        <v>0</v>
      </c>
      <c r="V71" s="484"/>
      <c r="W71" s="1">
        <v>0</v>
      </c>
      <c r="X71" s="1">
        <v>0</v>
      </c>
      <c r="Y71" s="1">
        <v>0</v>
      </c>
      <c r="Z71" s="484"/>
      <c r="AA71" s="486">
        <f t="shared" si="6"/>
        <v>2984.34</v>
      </c>
      <c r="AB71" s="484"/>
      <c r="AC71" s="487">
        <f t="shared" si="5"/>
        <v>2960.96</v>
      </c>
      <c r="AD71" s="487">
        <f t="shared" si="5"/>
        <v>0</v>
      </c>
      <c r="AE71" s="487">
        <f t="shared" si="5"/>
        <v>2960.96</v>
      </c>
      <c r="AF71" s="487">
        <f t="shared" si="7"/>
        <v>23.38</v>
      </c>
      <c r="AG71" s="487">
        <f t="shared" si="7"/>
        <v>0</v>
      </c>
      <c r="AH71" s="4"/>
      <c r="AI71" s="247">
        <v>823.86</v>
      </c>
      <c r="AJ71" s="247">
        <v>772</v>
      </c>
      <c r="AK71" s="247">
        <v>51.26</v>
      </c>
    </row>
    <row r="72" spans="1:37" x14ac:dyDescent="0.2">
      <c r="A72" s="8">
        <v>14850</v>
      </c>
      <c r="B72" s="8" t="s">
        <v>132</v>
      </c>
      <c r="C72" s="8" t="s">
        <v>20</v>
      </c>
      <c r="D72" s="29" t="s">
        <v>4</v>
      </c>
      <c r="E72" s="347"/>
      <c r="F72" s="1">
        <v>6129</v>
      </c>
      <c r="G72" s="1">
        <v>0</v>
      </c>
      <c r="H72" s="1">
        <v>6129</v>
      </c>
      <c r="I72" s="484"/>
      <c r="J72" s="1">
        <f>'[1]App 4-Recyclables'!H72</f>
        <v>75.09</v>
      </c>
      <c r="K72" s="1">
        <f>'[1]App 5-Organics'!H72+'[1]App 5-Organics'!L72</f>
        <v>0</v>
      </c>
      <c r="L72" s="485"/>
      <c r="M72" s="1">
        <f>'[1]App 4-Recyclables'!P72</f>
        <v>0</v>
      </c>
      <c r="N72" s="1">
        <f>'[1]App 5-Organics'!P72</f>
        <v>0</v>
      </c>
      <c r="O72" s="484"/>
      <c r="P72" s="1">
        <v>7448</v>
      </c>
      <c r="Q72" s="1">
        <v>5853</v>
      </c>
      <c r="R72" s="1">
        <v>1595</v>
      </c>
      <c r="S72" s="484"/>
      <c r="T72" s="1">
        <f>'[1]App 4-Recyclables'!T72</f>
        <v>0</v>
      </c>
      <c r="U72" s="1">
        <f>'[1]App 5-Organics'!T72</f>
        <v>0</v>
      </c>
      <c r="V72" s="484"/>
      <c r="W72" s="1">
        <v>0</v>
      </c>
      <c r="X72" s="1">
        <v>0</v>
      </c>
      <c r="Y72" s="1">
        <v>0</v>
      </c>
      <c r="Z72" s="484"/>
      <c r="AA72" s="486">
        <f t="shared" si="6"/>
        <v>7799.09</v>
      </c>
      <c r="AB72" s="484"/>
      <c r="AC72" s="487">
        <f t="shared" si="5"/>
        <v>13577</v>
      </c>
      <c r="AD72" s="487">
        <f t="shared" si="5"/>
        <v>5853</v>
      </c>
      <c r="AE72" s="487">
        <f t="shared" si="5"/>
        <v>7724</v>
      </c>
      <c r="AF72" s="487">
        <f t="shared" si="7"/>
        <v>75.09</v>
      </c>
      <c r="AG72" s="487">
        <f t="shared" si="7"/>
        <v>0</v>
      </c>
      <c r="AH72" s="4"/>
      <c r="AI72" s="247">
        <v>395</v>
      </c>
      <c r="AJ72" s="247">
        <v>0</v>
      </c>
      <c r="AK72" s="247">
        <v>395</v>
      </c>
    </row>
    <row r="73" spans="1:37" x14ac:dyDescent="0.2">
      <c r="A73" s="8">
        <v>14870</v>
      </c>
      <c r="B73" s="8" t="s">
        <v>133</v>
      </c>
      <c r="C73" s="8" t="s">
        <v>42</v>
      </c>
      <c r="D73" s="29" t="s">
        <v>1</v>
      </c>
      <c r="E73" s="347"/>
      <c r="F73" s="1">
        <v>5909</v>
      </c>
      <c r="G73" s="1">
        <v>0</v>
      </c>
      <c r="H73" s="1">
        <v>5909</v>
      </c>
      <c r="I73" s="484"/>
      <c r="J73" s="1">
        <f>'[1]App 4-Recyclables'!H73</f>
        <v>48.13</v>
      </c>
      <c r="K73" s="1">
        <f>'[1]App 5-Organics'!H73+'[1]App 5-Organics'!L73</f>
        <v>0</v>
      </c>
      <c r="L73" s="485"/>
      <c r="M73" s="1">
        <f>'[1]App 4-Recyclables'!P73</f>
        <v>0</v>
      </c>
      <c r="N73" s="1">
        <f>'[1]App 5-Organics'!P73</f>
        <v>0</v>
      </c>
      <c r="O73" s="484"/>
      <c r="P73" s="1">
        <v>20586.43</v>
      </c>
      <c r="Q73" s="1">
        <v>31.78</v>
      </c>
      <c r="R73" s="1">
        <v>20554.650000000001</v>
      </c>
      <c r="S73" s="484"/>
      <c r="T73" s="1">
        <f>'[1]App 4-Recyclables'!T73</f>
        <v>0</v>
      </c>
      <c r="U73" s="1">
        <f>'[1]App 5-Organics'!T73</f>
        <v>0</v>
      </c>
      <c r="V73" s="484"/>
      <c r="W73" s="1">
        <v>51.04</v>
      </c>
      <c r="X73" s="1">
        <v>0</v>
      </c>
      <c r="Y73" s="1">
        <v>51.04</v>
      </c>
      <c r="Z73" s="484"/>
      <c r="AA73" s="486">
        <f t="shared" si="6"/>
        <v>26562.820000000003</v>
      </c>
      <c r="AB73" s="484"/>
      <c r="AC73" s="487">
        <f t="shared" si="5"/>
        <v>26546.47</v>
      </c>
      <c r="AD73" s="487">
        <f t="shared" si="5"/>
        <v>31.78</v>
      </c>
      <c r="AE73" s="487">
        <f t="shared" si="5"/>
        <v>26514.690000000002</v>
      </c>
      <c r="AF73" s="487">
        <f t="shared" si="7"/>
        <v>48.13</v>
      </c>
      <c r="AG73" s="487">
        <f t="shared" si="7"/>
        <v>0</v>
      </c>
      <c r="AH73" s="4"/>
      <c r="AI73" s="247"/>
      <c r="AJ73" s="247"/>
      <c r="AK73" s="247"/>
    </row>
    <row r="74" spans="1:37" x14ac:dyDescent="0.2">
      <c r="A74" s="8">
        <v>14900</v>
      </c>
      <c r="B74" s="8" t="s">
        <v>60</v>
      </c>
      <c r="C74" s="8" t="s">
        <v>19</v>
      </c>
      <c r="D74" s="29" t="s">
        <v>3</v>
      </c>
      <c r="E74" s="347"/>
      <c r="F74" s="1">
        <v>54879.55</v>
      </c>
      <c r="G74" s="1">
        <v>0</v>
      </c>
      <c r="H74" s="1">
        <v>54879.55</v>
      </c>
      <c r="I74" s="484"/>
      <c r="J74" s="1">
        <f>'[1]App 4-Recyclables'!H74</f>
        <v>1450.21</v>
      </c>
      <c r="K74" s="1">
        <f>'[1]App 5-Organics'!H74+'[1]App 5-Organics'!L74</f>
        <v>592.05999999999995</v>
      </c>
      <c r="L74" s="485"/>
      <c r="M74" s="1">
        <f>'[1]App 4-Recyclables'!P74</f>
        <v>138.69999999999999</v>
      </c>
      <c r="N74" s="1">
        <f>'[1]App 5-Organics'!P74</f>
        <v>0</v>
      </c>
      <c r="O74" s="484"/>
      <c r="P74" s="1">
        <v>236.73</v>
      </c>
      <c r="Q74" s="1">
        <v>0</v>
      </c>
      <c r="R74" s="1">
        <v>236.73</v>
      </c>
      <c r="S74" s="484"/>
      <c r="T74" s="1">
        <f>'[1]App 4-Recyclables'!T74</f>
        <v>0</v>
      </c>
      <c r="U74" s="1">
        <f>'[1]App 5-Organics'!T74</f>
        <v>0</v>
      </c>
      <c r="V74" s="484"/>
      <c r="W74" s="1">
        <v>5443.34</v>
      </c>
      <c r="X74" s="1">
        <v>3266</v>
      </c>
      <c r="Y74" s="1">
        <v>2177.34</v>
      </c>
      <c r="Z74" s="484"/>
      <c r="AA74" s="486">
        <f t="shared" si="6"/>
        <v>59474.59</v>
      </c>
      <c r="AB74" s="484"/>
      <c r="AC74" s="487">
        <f t="shared" si="5"/>
        <v>60559.62000000001</v>
      </c>
      <c r="AD74" s="487">
        <f t="shared" si="5"/>
        <v>3266</v>
      </c>
      <c r="AE74" s="487">
        <f t="shared" si="5"/>
        <v>57293.62000000001</v>
      </c>
      <c r="AF74" s="487">
        <f t="shared" si="7"/>
        <v>1588.91</v>
      </c>
      <c r="AG74" s="487">
        <f t="shared" si="7"/>
        <v>592.05999999999995</v>
      </c>
      <c r="AH74" s="4"/>
      <c r="AI74" s="247">
        <v>0</v>
      </c>
      <c r="AJ74" s="247">
        <v>0</v>
      </c>
      <c r="AK74" s="247">
        <v>0</v>
      </c>
    </row>
    <row r="75" spans="1:37" x14ac:dyDescent="0.2">
      <c r="A75" s="8">
        <v>14920</v>
      </c>
      <c r="B75" s="8" t="s">
        <v>134</v>
      </c>
      <c r="C75" s="8" t="s">
        <v>17</v>
      </c>
      <c r="D75" s="29" t="s">
        <v>1</v>
      </c>
      <c r="E75" s="347"/>
      <c r="F75" s="1">
        <v>1595</v>
      </c>
      <c r="G75" s="1">
        <v>0</v>
      </c>
      <c r="H75" s="1">
        <v>1595</v>
      </c>
      <c r="I75" s="484"/>
      <c r="J75" s="1">
        <f>'[1]App 4-Recyclables'!H75</f>
        <v>16.97</v>
      </c>
      <c r="K75" s="1">
        <f>'[1]App 5-Organics'!H75+'[1]App 5-Organics'!L75</f>
        <v>0</v>
      </c>
      <c r="L75" s="485"/>
      <c r="M75" s="1">
        <f>'[1]App 4-Recyclables'!P75</f>
        <v>0</v>
      </c>
      <c r="N75" s="1">
        <f>'[1]App 5-Organics'!P75</f>
        <v>0</v>
      </c>
      <c r="O75" s="484"/>
      <c r="P75" s="1">
        <v>500</v>
      </c>
      <c r="Q75" s="1">
        <v>0</v>
      </c>
      <c r="R75" s="1">
        <v>500</v>
      </c>
      <c r="S75" s="484"/>
      <c r="T75" s="1">
        <f>'[1]App 4-Recyclables'!T75</f>
        <v>0</v>
      </c>
      <c r="U75" s="1">
        <f>'[1]App 5-Organics'!T75</f>
        <v>20</v>
      </c>
      <c r="V75" s="484"/>
      <c r="W75" s="1">
        <v>180</v>
      </c>
      <c r="X75" s="1">
        <v>90</v>
      </c>
      <c r="Y75" s="1">
        <v>90</v>
      </c>
      <c r="Z75" s="484"/>
      <c r="AA75" s="486">
        <f t="shared" si="6"/>
        <v>2221.9700000000003</v>
      </c>
      <c r="AB75" s="484"/>
      <c r="AC75" s="487">
        <f t="shared" si="5"/>
        <v>2275</v>
      </c>
      <c r="AD75" s="487">
        <f t="shared" si="5"/>
        <v>90</v>
      </c>
      <c r="AE75" s="487">
        <f t="shared" si="5"/>
        <v>2185</v>
      </c>
      <c r="AF75" s="487">
        <f t="shared" si="7"/>
        <v>16.97</v>
      </c>
      <c r="AG75" s="487">
        <f t="shared" si="7"/>
        <v>20</v>
      </c>
      <c r="AH75" s="4"/>
      <c r="AI75" s="247">
        <v>1</v>
      </c>
      <c r="AJ75" s="247">
        <v>0</v>
      </c>
      <c r="AK75" s="247">
        <v>1</v>
      </c>
    </row>
    <row r="76" spans="1:37" x14ac:dyDescent="0.2">
      <c r="A76" s="8">
        <v>14950</v>
      </c>
      <c r="B76" s="8" t="s">
        <v>135</v>
      </c>
      <c r="C76" s="8" t="s">
        <v>22</v>
      </c>
      <c r="D76" s="29" t="s">
        <v>1</v>
      </c>
      <c r="E76" s="347"/>
      <c r="F76" s="1">
        <v>953.73</v>
      </c>
      <c r="G76" s="1">
        <v>0</v>
      </c>
      <c r="H76" s="1">
        <v>953.73</v>
      </c>
      <c r="I76" s="484"/>
      <c r="J76" s="1">
        <f>'[1]App 4-Recyclables'!H76</f>
        <v>6.05</v>
      </c>
      <c r="K76" s="1">
        <f>'[1]App 5-Organics'!H76+'[1]App 5-Organics'!L76</f>
        <v>0</v>
      </c>
      <c r="L76" s="485"/>
      <c r="M76" s="1">
        <f>'[1]App 4-Recyclables'!P76</f>
        <v>0</v>
      </c>
      <c r="N76" s="1">
        <f>'[1]App 5-Organics'!P76</f>
        <v>0</v>
      </c>
      <c r="O76" s="484"/>
      <c r="P76" s="1">
        <v>0</v>
      </c>
      <c r="Q76" s="1">
        <v>0</v>
      </c>
      <c r="R76" s="1">
        <v>0</v>
      </c>
      <c r="S76" s="484"/>
      <c r="T76" s="1">
        <f>'[1]App 4-Recyclables'!T76</f>
        <v>0</v>
      </c>
      <c r="U76" s="1">
        <f>'[1]App 5-Organics'!T76</f>
        <v>0</v>
      </c>
      <c r="V76" s="484"/>
      <c r="W76" s="1">
        <v>100</v>
      </c>
      <c r="X76" s="1">
        <v>0</v>
      </c>
      <c r="Y76" s="1">
        <v>100</v>
      </c>
      <c r="Z76" s="484"/>
      <c r="AA76" s="486">
        <f t="shared" si="6"/>
        <v>1059.78</v>
      </c>
      <c r="AB76" s="484"/>
      <c r="AC76" s="487">
        <f t="shared" si="5"/>
        <v>1053.73</v>
      </c>
      <c r="AD76" s="487">
        <f t="shared" si="5"/>
        <v>0</v>
      </c>
      <c r="AE76" s="487">
        <f t="shared" si="5"/>
        <v>1053.73</v>
      </c>
      <c r="AF76" s="487">
        <f t="shared" si="7"/>
        <v>6.05</v>
      </c>
      <c r="AG76" s="487">
        <f t="shared" si="7"/>
        <v>0</v>
      </c>
      <c r="AH76" s="4"/>
      <c r="AI76" s="247">
        <v>0</v>
      </c>
      <c r="AJ76" s="247">
        <v>0</v>
      </c>
      <c r="AK76" s="247">
        <v>0</v>
      </c>
    </row>
    <row r="77" spans="1:37" x14ac:dyDescent="0.2">
      <c r="A77" s="8">
        <v>15050</v>
      </c>
      <c r="B77" s="8" t="s">
        <v>136</v>
      </c>
      <c r="C77" s="8" t="s">
        <v>25</v>
      </c>
      <c r="D77" s="29" t="s">
        <v>2</v>
      </c>
      <c r="E77" s="347"/>
      <c r="F77" s="1">
        <v>24656</v>
      </c>
      <c r="G77" s="1">
        <v>0</v>
      </c>
      <c r="H77" s="1">
        <v>24656</v>
      </c>
      <c r="I77" s="484"/>
      <c r="J77" s="1">
        <f>'[1]App 4-Recyclables'!H77</f>
        <v>342.85</v>
      </c>
      <c r="K77" s="1">
        <f>'[1]App 5-Organics'!H77+'[1]App 5-Organics'!L77</f>
        <v>14.85</v>
      </c>
      <c r="L77" s="485"/>
      <c r="M77" s="1">
        <f>'[1]App 4-Recyclables'!P77</f>
        <v>0</v>
      </c>
      <c r="N77" s="1">
        <f>'[1]App 5-Organics'!P77</f>
        <v>0</v>
      </c>
      <c r="O77" s="484"/>
      <c r="P77" s="1">
        <v>5018</v>
      </c>
      <c r="Q77" s="1">
        <v>89</v>
      </c>
      <c r="R77" s="1">
        <v>4929</v>
      </c>
      <c r="S77" s="484"/>
      <c r="T77" s="1">
        <f>'[1]App 4-Recyclables'!T77</f>
        <v>0</v>
      </c>
      <c r="U77" s="1">
        <f>'[1]App 5-Organics'!T77</f>
        <v>0</v>
      </c>
      <c r="V77" s="484"/>
      <c r="W77" s="1">
        <v>9.6</v>
      </c>
      <c r="X77" s="1">
        <v>0</v>
      </c>
      <c r="Y77" s="1">
        <v>9.6</v>
      </c>
      <c r="Z77" s="484"/>
      <c r="AA77" s="486">
        <f t="shared" si="6"/>
        <v>29952.299999999996</v>
      </c>
      <c r="AB77" s="484"/>
      <c r="AC77" s="487">
        <f t="shared" si="5"/>
        <v>29683.599999999999</v>
      </c>
      <c r="AD77" s="487">
        <f t="shared" si="5"/>
        <v>89</v>
      </c>
      <c r="AE77" s="487">
        <f t="shared" si="5"/>
        <v>29594.6</v>
      </c>
      <c r="AF77" s="487">
        <f t="shared" si="7"/>
        <v>342.85</v>
      </c>
      <c r="AG77" s="487">
        <f t="shared" si="7"/>
        <v>14.85</v>
      </c>
      <c r="AH77" s="4"/>
      <c r="AI77" s="247">
        <v>1816</v>
      </c>
      <c r="AJ77" s="247">
        <v>0</v>
      </c>
      <c r="AK77" s="247">
        <v>1816</v>
      </c>
    </row>
    <row r="78" spans="1:37" x14ac:dyDescent="0.2">
      <c r="A78" s="8">
        <v>15240</v>
      </c>
      <c r="B78" s="8" t="s">
        <v>137</v>
      </c>
      <c r="C78" s="8" t="s">
        <v>43</v>
      </c>
      <c r="D78" s="29" t="s">
        <v>4</v>
      </c>
      <c r="E78" s="347"/>
      <c r="F78" s="1">
        <v>22608.92</v>
      </c>
      <c r="G78" s="1">
        <v>0</v>
      </c>
      <c r="H78" s="1">
        <v>22608.92</v>
      </c>
      <c r="I78" s="484"/>
      <c r="J78" s="1">
        <f>'[1]App 4-Recyclables'!H78</f>
        <v>643.94000000000005</v>
      </c>
      <c r="K78" s="1">
        <f>'[1]App 5-Organics'!H78+'[1]App 5-Organics'!L78</f>
        <v>0</v>
      </c>
      <c r="L78" s="485"/>
      <c r="M78" s="1">
        <f>'[1]App 4-Recyclables'!P78</f>
        <v>0</v>
      </c>
      <c r="N78" s="1">
        <f>'[1]App 5-Organics'!P78</f>
        <v>0</v>
      </c>
      <c r="O78" s="484"/>
      <c r="P78" s="1">
        <v>24794.590000000004</v>
      </c>
      <c r="Q78" s="1">
        <v>0</v>
      </c>
      <c r="R78" s="1">
        <v>24794.590000000004</v>
      </c>
      <c r="S78" s="484"/>
      <c r="T78" s="1">
        <f>'[1]App 4-Recyclables'!T78</f>
        <v>0</v>
      </c>
      <c r="U78" s="1">
        <f>'[1]App 5-Organics'!T78</f>
        <v>0</v>
      </c>
      <c r="V78" s="484"/>
      <c r="W78" s="1">
        <v>1566.8</v>
      </c>
      <c r="X78" s="1">
        <v>0</v>
      </c>
      <c r="Y78" s="1">
        <v>1566.8</v>
      </c>
      <c r="Z78" s="484"/>
      <c r="AA78" s="486">
        <f t="shared" si="6"/>
        <v>49614.25</v>
      </c>
      <c r="AB78" s="484"/>
      <c r="AC78" s="487">
        <f t="shared" si="5"/>
        <v>48970.310000000005</v>
      </c>
      <c r="AD78" s="487">
        <f t="shared" si="5"/>
        <v>0</v>
      </c>
      <c r="AE78" s="487">
        <f t="shared" si="5"/>
        <v>48970.310000000005</v>
      </c>
      <c r="AF78" s="487">
        <f t="shared" si="7"/>
        <v>643.94000000000005</v>
      </c>
      <c r="AG78" s="487">
        <f t="shared" si="7"/>
        <v>0</v>
      </c>
      <c r="AH78" s="4"/>
      <c r="AI78" s="247">
        <v>0</v>
      </c>
      <c r="AJ78" s="247">
        <v>0</v>
      </c>
      <c r="AK78" s="247">
        <v>0</v>
      </c>
    </row>
    <row r="79" spans="1:37" x14ac:dyDescent="0.2">
      <c r="A79" s="8">
        <v>15270</v>
      </c>
      <c r="B79" s="8" t="s">
        <v>138</v>
      </c>
      <c r="C79" s="8" t="s">
        <v>42</v>
      </c>
      <c r="D79" s="29" t="s">
        <v>1</v>
      </c>
      <c r="E79" s="347"/>
      <c r="F79" s="1">
        <v>4022.04</v>
      </c>
      <c r="G79" s="1">
        <v>0</v>
      </c>
      <c r="H79" s="1">
        <v>4022.04</v>
      </c>
      <c r="I79" s="484"/>
      <c r="J79" s="1">
        <f>'[1]App 4-Recyclables'!H79</f>
        <v>365.61</v>
      </c>
      <c r="K79" s="1">
        <f>'[1]App 5-Organics'!H79+'[1]App 5-Organics'!L79</f>
        <v>0</v>
      </c>
      <c r="L79" s="485"/>
      <c r="M79" s="1">
        <f>'[1]App 4-Recyclables'!P79</f>
        <v>0</v>
      </c>
      <c r="N79" s="1">
        <f>'[1]App 5-Organics'!P79</f>
        <v>0</v>
      </c>
      <c r="O79" s="484"/>
      <c r="P79" s="1">
        <v>9444.68</v>
      </c>
      <c r="Q79" s="1">
        <v>36.42</v>
      </c>
      <c r="R79" s="1">
        <v>9408.26</v>
      </c>
      <c r="S79" s="484"/>
      <c r="T79" s="1">
        <f>'[1]App 4-Recyclables'!T79</f>
        <v>0</v>
      </c>
      <c r="U79" s="1">
        <f>'[1]App 5-Organics'!T79</f>
        <v>0</v>
      </c>
      <c r="V79" s="484"/>
      <c r="W79" s="1">
        <v>0</v>
      </c>
      <c r="X79" s="1">
        <v>0</v>
      </c>
      <c r="Y79" s="1">
        <v>0</v>
      </c>
      <c r="Z79" s="484"/>
      <c r="AA79" s="486">
        <f t="shared" si="6"/>
        <v>13795.91</v>
      </c>
      <c r="AB79" s="484"/>
      <c r="AC79" s="487">
        <f t="shared" si="5"/>
        <v>13466.720000000001</v>
      </c>
      <c r="AD79" s="487">
        <f t="shared" si="5"/>
        <v>36.42</v>
      </c>
      <c r="AE79" s="487">
        <f t="shared" si="5"/>
        <v>13430.3</v>
      </c>
      <c r="AF79" s="487">
        <f t="shared" si="7"/>
        <v>365.61</v>
      </c>
      <c r="AG79" s="487">
        <f t="shared" si="7"/>
        <v>0</v>
      </c>
      <c r="AH79" s="4"/>
      <c r="AI79" s="247">
        <v>592.46</v>
      </c>
      <c r="AJ79" s="247">
        <v>592</v>
      </c>
      <c r="AK79" s="247">
        <v>0</v>
      </c>
    </row>
    <row r="80" spans="1:37" x14ac:dyDescent="0.2">
      <c r="A80" s="8">
        <v>15300</v>
      </c>
      <c r="B80" s="8" t="s">
        <v>139</v>
      </c>
      <c r="C80" s="8" t="s">
        <v>17</v>
      </c>
      <c r="D80" s="29" t="s">
        <v>1</v>
      </c>
      <c r="E80" s="347"/>
      <c r="F80" s="1">
        <v>2396.35</v>
      </c>
      <c r="G80" s="1">
        <v>0</v>
      </c>
      <c r="H80" s="1">
        <v>2396.35</v>
      </c>
      <c r="I80" s="484"/>
      <c r="J80" s="1">
        <f>'[1]App 4-Recyclables'!H80</f>
        <v>110.64</v>
      </c>
      <c r="K80" s="1">
        <f>'[1]App 5-Organics'!H80+'[1]App 5-Organics'!L80</f>
        <v>134.63999999999999</v>
      </c>
      <c r="L80" s="485"/>
      <c r="M80" s="1">
        <f>'[1]App 4-Recyclables'!P80</f>
        <v>0</v>
      </c>
      <c r="N80" s="1">
        <f>'[1]App 5-Organics'!P80</f>
        <v>0</v>
      </c>
      <c r="O80" s="484"/>
      <c r="P80" s="1">
        <v>4285.57</v>
      </c>
      <c r="Q80" s="1">
        <v>334.63</v>
      </c>
      <c r="R80" s="1">
        <v>3950.9399999999996</v>
      </c>
      <c r="S80" s="484"/>
      <c r="T80" s="1">
        <f>'[1]App 4-Recyclables'!T80</f>
        <v>0</v>
      </c>
      <c r="U80" s="1">
        <f>'[1]App 5-Organics'!T80</f>
        <v>0</v>
      </c>
      <c r="V80" s="484"/>
      <c r="W80" s="1">
        <v>113.44</v>
      </c>
      <c r="X80" s="1">
        <v>0</v>
      </c>
      <c r="Y80" s="1">
        <v>113.44</v>
      </c>
      <c r="Z80" s="484"/>
      <c r="AA80" s="486">
        <f t="shared" si="6"/>
        <v>6706.0099999999993</v>
      </c>
      <c r="AB80" s="484"/>
      <c r="AC80" s="487">
        <f t="shared" si="5"/>
        <v>6795.36</v>
      </c>
      <c r="AD80" s="487">
        <f t="shared" si="5"/>
        <v>334.63</v>
      </c>
      <c r="AE80" s="487">
        <f t="shared" si="5"/>
        <v>6460.7299999999987</v>
      </c>
      <c r="AF80" s="487">
        <f t="shared" si="7"/>
        <v>110.64</v>
      </c>
      <c r="AG80" s="487">
        <f t="shared" si="7"/>
        <v>134.63999999999999</v>
      </c>
      <c r="AH80" s="4"/>
      <c r="AI80" s="247">
        <v>319.31</v>
      </c>
      <c r="AJ80" s="247">
        <v>0</v>
      </c>
      <c r="AK80" s="247">
        <v>319.31</v>
      </c>
    </row>
    <row r="81" spans="1:42" x14ac:dyDescent="0.2">
      <c r="A81" s="8">
        <v>15350</v>
      </c>
      <c r="B81" s="8" t="s">
        <v>140</v>
      </c>
      <c r="C81" s="8" t="s">
        <v>26</v>
      </c>
      <c r="D81" s="29" t="s">
        <v>3</v>
      </c>
      <c r="E81" s="347"/>
      <c r="F81" s="1">
        <v>6279</v>
      </c>
      <c r="G81" s="1">
        <v>0</v>
      </c>
      <c r="H81" s="1">
        <v>6279</v>
      </c>
      <c r="I81" s="484"/>
      <c r="J81" s="1">
        <f>'[1]App 4-Recyclables'!H81</f>
        <v>96.68</v>
      </c>
      <c r="K81" s="1">
        <f>'[1]App 5-Organics'!H81+'[1]App 5-Organics'!L81</f>
        <v>0</v>
      </c>
      <c r="L81" s="485"/>
      <c r="M81" s="1">
        <f>'[1]App 4-Recyclables'!P81</f>
        <v>0</v>
      </c>
      <c r="N81" s="1">
        <f>'[1]App 5-Organics'!P81</f>
        <v>0</v>
      </c>
      <c r="O81" s="484"/>
      <c r="P81" s="1">
        <v>0</v>
      </c>
      <c r="Q81" s="1">
        <v>0</v>
      </c>
      <c r="R81" s="1">
        <v>0</v>
      </c>
      <c r="S81" s="484"/>
      <c r="T81" s="1">
        <f>'[1]App 4-Recyclables'!T81</f>
        <v>0</v>
      </c>
      <c r="U81" s="1">
        <f>'[1]App 5-Organics'!T81</f>
        <v>0</v>
      </c>
      <c r="V81" s="484"/>
      <c r="W81" s="1">
        <v>642</v>
      </c>
      <c r="X81" s="1">
        <v>642</v>
      </c>
      <c r="Y81" s="1">
        <v>0</v>
      </c>
      <c r="Z81" s="484"/>
      <c r="AA81" s="486">
        <f t="shared" si="6"/>
        <v>6375.68</v>
      </c>
      <c r="AB81" s="484"/>
      <c r="AC81" s="487">
        <f t="shared" si="5"/>
        <v>6921</v>
      </c>
      <c r="AD81" s="487">
        <f t="shared" si="5"/>
        <v>642</v>
      </c>
      <c r="AE81" s="487">
        <f t="shared" si="5"/>
        <v>6279</v>
      </c>
      <c r="AF81" s="487">
        <f t="shared" si="7"/>
        <v>96.68</v>
      </c>
      <c r="AG81" s="487">
        <f t="shared" si="7"/>
        <v>0</v>
      </c>
      <c r="AH81" s="4"/>
      <c r="AI81" s="247">
        <v>46</v>
      </c>
      <c r="AJ81" s="247">
        <v>0</v>
      </c>
      <c r="AK81" s="247">
        <v>46</v>
      </c>
    </row>
    <row r="82" spans="1:42" x14ac:dyDescent="0.2">
      <c r="A82" s="8">
        <v>15520</v>
      </c>
      <c r="B82" s="8" t="s">
        <v>141</v>
      </c>
      <c r="C82" s="8" t="s">
        <v>73</v>
      </c>
      <c r="D82" s="29" t="s">
        <v>1</v>
      </c>
      <c r="E82" s="347"/>
      <c r="F82" s="1">
        <v>1789.93</v>
      </c>
      <c r="G82" s="1">
        <v>0</v>
      </c>
      <c r="H82" s="1">
        <v>1789.93</v>
      </c>
      <c r="I82" s="484"/>
      <c r="J82" s="1">
        <f>'[1]App 4-Recyclables'!H82</f>
        <v>31.07</v>
      </c>
      <c r="K82" s="1">
        <f>'[1]App 5-Organics'!H82+'[1]App 5-Organics'!L82</f>
        <v>0</v>
      </c>
      <c r="L82" s="485"/>
      <c r="M82" s="1">
        <f>'[1]App 4-Recyclables'!P82</f>
        <v>0</v>
      </c>
      <c r="N82" s="1">
        <f>'[1]App 5-Organics'!P82</f>
        <v>0</v>
      </c>
      <c r="O82" s="484"/>
      <c r="P82" s="1">
        <v>0</v>
      </c>
      <c r="Q82" s="1">
        <v>0</v>
      </c>
      <c r="R82" s="1">
        <v>0</v>
      </c>
      <c r="S82" s="484"/>
      <c r="T82" s="1">
        <f>'[1]App 4-Recyclables'!T82</f>
        <v>0</v>
      </c>
      <c r="U82" s="1">
        <f>'[1]App 5-Organics'!T82</f>
        <v>0</v>
      </c>
      <c r="V82" s="484"/>
      <c r="W82" s="1">
        <v>0</v>
      </c>
      <c r="X82" s="1">
        <v>0</v>
      </c>
      <c r="Y82" s="1">
        <v>0</v>
      </c>
      <c r="Z82" s="484"/>
      <c r="AA82" s="486">
        <f t="shared" si="6"/>
        <v>1821</v>
      </c>
      <c r="AB82" s="484"/>
      <c r="AC82" s="487">
        <f t="shared" si="5"/>
        <v>1789.93</v>
      </c>
      <c r="AD82" s="487">
        <f t="shared" si="5"/>
        <v>0</v>
      </c>
      <c r="AE82" s="487">
        <f t="shared" si="5"/>
        <v>1789.93</v>
      </c>
      <c r="AF82" s="487">
        <f t="shared" si="7"/>
        <v>31.07</v>
      </c>
      <c r="AG82" s="487">
        <f t="shared" si="7"/>
        <v>0</v>
      </c>
      <c r="AH82" s="4"/>
      <c r="AI82" s="247"/>
      <c r="AJ82" s="247"/>
      <c r="AK82" s="247"/>
    </row>
    <row r="83" spans="1:42" x14ac:dyDescent="0.2">
      <c r="A83" s="8">
        <v>15560</v>
      </c>
      <c r="B83" s="8" t="s">
        <v>142</v>
      </c>
      <c r="C83" s="8" t="s">
        <v>75</v>
      </c>
      <c r="D83" s="29" t="s">
        <v>1</v>
      </c>
      <c r="E83" s="347"/>
      <c r="F83" s="1">
        <v>600</v>
      </c>
      <c r="G83" s="1">
        <v>0</v>
      </c>
      <c r="H83" s="1">
        <v>600</v>
      </c>
      <c r="I83" s="484"/>
      <c r="J83" s="1">
        <f>'[1]App 4-Recyclables'!H83</f>
        <v>4.37</v>
      </c>
      <c r="K83" s="1">
        <f>'[1]App 5-Organics'!H83+'[1]App 5-Organics'!L83</f>
        <v>0</v>
      </c>
      <c r="L83" s="485"/>
      <c r="M83" s="1">
        <f>'[1]App 4-Recyclables'!P83</f>
        <v>0</v>
      </c>
      <c r="N83" s="1">
        <f>'[1]App 5-Organics'!P83</f>
        <v>250</v>
      </c>
      <c r="O83" s="484"/>
      <c r="P83" s="1">
        <v>300</v>
      </c>
      <c r="Q83" s="1">
        <v>0</v>
      </c>
      <c r="R83" s="1">
        <v>300</v>
      </c>
      <c r="S83" s="484"/>
      <c r="T83" s="1">
        <f>'[1]App 4-Recyclables'!T83</f>
        <v>36</v>
      </c>
      <c r="U83" s="1">
        <f>'[1]App 5-Organics'!T83</f>
        <v>0</v>
      </c>
      <c r="V83" s="484"/>
      <c r="W83" s="1">
        <v>14</v>
      </c>
      <c r="X83" s="1">
        <v>0</v>
      </c>
      <c r="Y83" s="1">
        <v>14</v>
      </c>
      <c r="Z83" s="484"/>
      <c r="AA83" s="486">
        <f t="shared" si="6"/>
        <v>1204.3699999999999</v>
      </c>
      <c r="AB83" s="484"/>
      <c r="AC83" s="487">
        <f t="shared" si="5"/>
        <v>914</v>
      </c>
      <c r="AD83" s="487">
        <f t="shared" si="5"/>
        <v>0</v>
      </c>
      <c r="AE83" s="487">
        <f t="shared" si="5"/>
        <v>914</v>
      </c>
      <c r="AF83" s="487">
        <f t="shared" si="7"/>
        <v>40.369999999999997</v>
      </c>
      <c r="AG83" s="487">
        <f t="shared" si="7"/>
        <v>250</v>
      </c>
      <c r="AH83" s="4"/>
      <c r="AI83" s="247"/>
      <c r="AJ83" s="247"/>
      <c r="AK83" s="247"/>
    </row>
    <row r="84" spans="1:42" x14ac:dyDescent="0.2">
      <c r="A84" s="8">
        <v>15650</v>
      </c>
      <c r="B84" s="8" t="s">
        <v>143</v>
      </c>
      <c r="C84" s="8" t="s">
        <v>25</v>
      </c>
      <c r="D84" s="29" t="s">
        <v>4</v>
      </c>
      <c r="E84" s="347"/>
      <c r="F84" s="1">
        <v>3463.16</v>
      </c>
      <c r="G84" s="1">
        <v>0</v>
      </c>
      <c r="H84" s="1">
        <v>3463.16</v>
      </c>
      <c r="I84" s="484"/>
      <c r="J84" s="1">
        <f>'[1]App 4-Recyclables'!H84</f>
        <v>160.5</v>
      </c>
      <c r="K84" s="1">
        <f>'[1]App 5-Organics'!H84+'[1]App 5-Organics'!L84</f>
        <v>36.299999999999997</v>
      </c>
      <c r="L84" s="485"/>
      <c r="M84" s="1">
        <f>'[1]App 4-Recyclables'!P84</f>
        <v>0.67999999999999994</v>
      </c>
      <c r="N84" s="1">
        <f>'[1]App 5-Organics'!P84</f>
        <v>0</v>
      </c>
      <c r="O84" s="484"/>
      <c r="P84" s="1">
        <v>1136.1599999999999</v>
      </c>
      <c r="Q84" s="1">
        <v>41.54</v>
      </c>
      <c r="R84" s="1">
        <v>1094.6199999999999</v>
      </c>
      <c r="S84" s="484"/>
      <c r="T84" s="1">
        <f>'[1]App 4-Recyclables'!T84</f>
        <v>0</v>
      </c>
      <c r="U84" s="1">
        <f>'[1]App 5-Organics'!T84</f>
        <v>0</v>
      </c>
      <c r="V84" s="484"/>
      <c r="W84" s="1">
        <v>614.94000000000005</v>
      </c>
      <c r="X84" s="1">
        <v>0</v>
      </c>
      <c r="Y84" s="1">
        <v>614.94000000000005</v>
      </c>
      <c r="Z84" s="484"/>
      <c r="AA84" s="486">
        <f t="shared" si="6"/>
        <v>5370.2000000000007</v>
      </c>
      <c r="AB84" s="484"/>
      <c r="AC84" s="487">
        <f t="shared" si="5"/>
        <v>5214.26</v>
      </c>
      <c r="AD84" s="487">
        <f t="shared" si="5"/>
        <v>41.54</v>
      </c>
      <c r="AE84" s="487">
        <f t="shared" si="5"/>
        <v>5172.7199999999993</v>
      </c>
      <c r="AF84" s="487">
        <f t="shared" si="7"/>
        <v>161.18</v>
      </c>
      <c r="AG84" s="487">
        <f t="shared" si="7"/>
        <v>36.299999999999997</v>
      </c>
      <c r="AH84" s="4"/>
      <c r="AI84" s="247">
        <v>421.68</v>
      </c>
      <c r="AJ84" s="247">
        <v>0</v>
      </c>
      <c r="AK84" s="247">
        <v>421.68</v>
      </c>
    </row>
    <row r="85" spans="1:42" x14ac:dyDescent="0.2">
      <c r="A85" s="8">
        <v>15700</v>
      </c>
      <c r="B85" s="8" t="s">
        <v>61</v>
      </c>
      <c r="C85" s="8" t="s">
        <v>43</v>
      </c>
      <c r="D85" s="29" t="s">
        <v>4</v>
      </c>
      <c r="E85" s="347"/>
      <c r="F85" s="1">
        <v>3505</v>
      </c>
      <c r="G85" s="1">
        <v>105.15000000000009</v>
      </c>
      <c r="H85" s="1">
        <v>3399.85</v>
      </c>
      <c r="I85" s="484"/>
      <c r="J85" s="1">
        <f>'[1]App 4-Recyclables'!H85</f>
        <v>60.53</v>
      </c>
      <c r="K85" s="1">
        <f>'[1]App 5-Organics'!H85+'[1]App 5-Organics'!L85</f>
        <v>0</v>
      </c>
      <c r="L85" s="485"/>
      <c r="M85" s="1">
        <f>'[1]App 4-Recyclables'!P85</f>
        <v>0</v>
      </c>
      <c r="N85" s="1">
        <f>'[1]App 5-Organics'!P85</f>
        <v>0</v>
      </c>
      <c r="O85" s="484"/>
      <c r="P85" s="1">
        <v>56</v>
      </c>
      <c r="Q85" s="1">
        <v>0</v>
      </c>
      <c r="R85" s="1">
        <v>56</v>
      </c>
      <c r="S85" s="484"/>
      <c r="T85" s="1">
        <f>'[1]App 4-Recyclables'!T85</f>
        <v>0</v>
      </c>
      <c r="U85" s="1">
        <f>'[1]App 5-Organics'!T85</f>
        <v>0</v>
      </c>
      <c r="V85" s="484"/>
      <c r="W85" s="1">
        <v>555</v>
      </c>
      <c r="X85" s="1">
        <v>0</v>
      </c>
      <c r="Y85" s="1">
        <v>555</v>
      </c>
      <c r="Z85" s="484"/>
      <c r="AA85" s="486">
        <f t="shared" si="6"/>
        <v>4071.38</v>
      </c>
      <c r="AB85" s="484"/>
      <c r="AC85" s="487">
        <f t="shared" si="5"/>
        <v>4116</v>
      </c>
      <c r="AD85" s="487">
        <f t="shared" si="5"/>
        <v>105.15000000000009</v>
      </c>
      <c r="AE85" s="487">
        <f t="shared" si="5"/>
        <v>4010.85</v>
      </c>
      <c r="AF85" s="487">
        <f t="shared" si="7"/>
        <v>60.53</v>
      </c>
      <c r="AG85" s="487">
        <f t="shared" si="7"/>
        <v>0</v>
      </c>
      <c r="AH85" s="4"/>
      <c r="AI85" s="247"/>
      <c r="AJ85" s="247"/>
      <c r="AK85" s="247"/>
    </row>
    <row r="86" spans="1:42" x14ac:dyDescent="0.2">
      <c r="A86" s="8">
        <v>15750</v>
      </c>
      <c r="B86" s="8" t="s">
        <v>144</v>
      </c>
      <c r="C86" s="8" t="s">
        <v>17</v>
      </c>
      <c r="D86" s="29" t="s">
        <v>1</v>
      </c>
      <c r="E86" s="347"/>
      <c r="F86" s="1">
        <v>2217.0300000000002</v>
      </c>
      <c r="G86" s="1">
        <v>0</v>
      </c>
      <c r="H86" s="1">
        <v>2217.0300000000002</v>
      </c>
      <c r="I86" s="484"/>
      <c r="J86" s="1">
        <f>'[1]App 4-Recyclables'!H86</f>
        <v>22.1</v>
      </c>
      <c r="K86" s="1">
        <f>'[1]App 5-Organics'!H86+'[1]App 5-Organics'!L86</f>
        <v>0</v>
      </c>
      <c r="L86" s="485"/>
      <c r="M86" s="1">
        <f>'[1]App 4-Recyclables'!P86</f>
        <v>0</v>
      </c>
      <c r="N86" s="1">
        <f>'[1]App 5-Organics'!P86</f>
        <v>0</v>
      </c>
      <c r="O86" s="484"/>
      <c r="P86" s="1">
        <v>1703.06</v>
      </c>
      <c r="Q86" s="1">
        <v>36.06</v>
      </c>
      <c r="R86" s="1">
        <v>1667</v>
      </c>
      <c r="S86" s="484"/>
      <c r="T86" s="1">
        <f>'[1]App 4-Recyclables'!T86</f>
        <v>0</v>
      </c>
      <c r="U86" s="1">
        <f>'[1]App 5-Organics'!T86</f>
        <v>0</v>
      </c>
      <c r="V86" s="484"/>
      <c r="W86" s="1">
        <v>11</v>
      </c>
      <c r="X86" s="1">
        <v>11</v>
      </c>
      <c r="Y86" s="1">
        <v>0</v>
      </c>
      <c r="Z86" s="484"/>
      <c r="AA86" s="486">
        <f t="shared" si="6"/>
        <v>3906.13</v>
      </c>
      <c r="AB86" s="484"/>
      <c r="AC86" s="487">
        <f t="shared" si="5"/>
        <v>3931.09</v>
      </c>
      <c r="AD86" s="487">
        <f t="shared" si="5"/>
        <v>47.06</v>
      </c>
      <c r="AE86" s="487">
        <f t="shared" si="5"/>
        <v>3884.03</v>
      </c>
      <c r="AF86" s="487">
        <f t="shared" si="7"/>
        <v>22.1</v>
      </c>
      <c r="AG86" s="487">
        <f t="shared" si="7"/>
        <v>0</v>
      </c>
      <c r="AH86" s="4"/>
      <c r="AI86" s="247"/>
      <c r="AJ86" s="247"/>
      <c r="AK86" s="247"/>
    </row>
    <row r="87" spans="1:42" x14ac:dyDescent="0.2">
      <c r="A87" s="8">
        <v>15800</v>
      </c>
      <c r="B87" s="8" t="s">
        <v>145</v>
      </c>
      <c r="C87" s="8" t="s">
        <v>75</v>
      </c>
      <c r="D87" s="29" t="s">
        <v>1</v>
      </c>
      <c r="E87" s="347"/>
      <c r="F87" s="1">
        <v>2678</v>
      </c>
      <c r="G87" s="1">
        <v>0</v>
      </c>
      <c r="H87" s="1">
        <v>2678</v>
      </c>
      <c r="I87" s="484"/>
      <c r="J87" s="1">
        <f>'[1]App 4-Recyclables'!H87</f>
        <v>34.94</v>
      </c>
      <c r="K87" s="1">
        <f>'[1]App 5-Organics'!H87+'[1]App 5-Organics'!L87</f>
        <v>0</v>
      </c>
      <c r="L87" s="485"/>
      <c r="M87" s="1">
        <f>'[1]App 4-Recyclables'!P87</f>
        <v>0</v>
      </c>
      <c r="N87" s="1">
        <f>'[1]App 5-Organics'!P87</f>
        <v>0</v>
      </c>
      <c r="O87" s="484"/>
      <c r="P87" s="1">
        <v>7.5299999999999994</v>
      </c>
      <c r="Q87" s="1">
        <v>7.5299999999999994</v>
      </c>
      <c r="R87" s="1">
        <v>0</v>
      </c>
      <c r="S87" s="484"/>
      <c r="T87" s="1">
        <f>'[1]App 4-Recyclables'!T87</f>
        <v>0</v>
      </c>
      <c r="U87" s="1">
        <f>'[1]App 5-Organics'!T87</f>
        <v>0</v>
      </c>
      <c r="V87" s="484"/>
      <c r="W87" s="1">
        <v>200</v>
      </c>
      <c r="X87" s="1">
        <v>0</v>
      </c>
      <c r="Y87" s="1">
        <v>200</v>
      </c>
      <c r="Z87" s="484"/>
      <c r="AA87" s="486">
        <f t="shared" si="6"/>
        <v>2912.94</v>
      </c>
      <c r="AB87" s="484"/>
      <c r="AC87" s="487">
        <f t="shared" si="5"/>
        <v>2885.53</v>
      </c>
      <c r="AD87" s="487">
        <f t="shared" si="5"/>
        <v>7.5299999999999994</v>
      </c>
      <c r="AE87" s="487">
        <f t="shared" si="5"/>
        <v>2878</v>
      </c>
      <c r="AF87" s="487">
        <f t="shared" si="7"/>
        <v>34.94</v>
      </c>
      <c r="AG87" s="487">
        <f t="shared" si="7"/>
        <v>0</v>
      </c>
      <c r="AH87" s="4"/>
      <c r="AI87" s="247"/>
      <c r="AJ87" s="247"/>
      <c r="AK87" s="247"/>
    </row>
    <row r="88" spans="1:42" x14ac:dyDescent="0.2">
      <c r="A88" s="8">
        <v>15850</v>
      </c>
      <c r="B88" s="8" t="s">
        <v>146</v>
      </c>
      <c r="C88" s="8" t="s">
        <v>42</v>
      </c>
      <c r="D88" s="29" t="s">
        <v>1</v>
      </c>
      <c r="E88" s="347"/>
      <c r="F88" s="1">
        <v>1434</v>
      </c>
      <c r="G88" s="1">
        <v>0</v>
      </c>
      <c r="H88" s="1">
        <v>1434</v>
      </c>
      <c r="I88" s="484"/>
      <c r="J88" s="1">
        <f>'[1]App 4-Recyclables'!H88</f>
        <v>13.19</v>
      </c>
      <c r="K88" s="1">
        <f>'[1]App 5-Organics'!H88+'[1]App 5-Organics'!L88</f>
        <v>0</v>
      </c>
      <c r="L88" s="485"/>
      <c r="M88" s="1">
        <f>'[1]App 4-Recyclables'!P88</f>
        <v>0</v>
      </c>
      <c r="N88" s="1">
        <f>'[1]App 5-Organics'!P88</f>
        <v>0</v>
      </c>
      <c r="O88" s="484"/>
      <c r="P88" s="1">
        <v>0</v>
      </c>
      <c r="Q88" s="1">
        <v>0</v>
      </c>
      <c r="R88" s="1">
        <v>0</v>
      </c>
      <c r="S88" s="484"/>
      <c r="T88" s="1">
        <f>'[1]App 4-Recyclables'!T88</f>
        <v>0</v>
      </c>
      <c r="U88" s="1">
        <f>'[1]App 5-Organics'!T88</f>
        <v>0</v>
      </c>
      <c r="V88" s="484"/>
      <c r="W88" s="1">
        <v>0</v>
      </c>
      <c r="X88" s="1">
        <v>0</v>
      </c>
      <c r="Y88" s="1">
        <v>0</v>
      </c>
      <c r="Z88" s="484"/>
      <c r="AA88" s="486">
        <f t="shared" si="6"/>
        <v>1447.19</v>
      </c>
      <c r="AB88" s="484"/>
      <c r="AC88" s="487">
        <f t="shared" si="5"/>
        <v>1434</v>
      </c>
      <c r="AD88" s="487">
        <f t="shared" si="5"/>
        <v>0</v>
      </c>
      <c r="AE88" s="487">
        <f t="shared" si="5"/>
        <v>1434</v>
      </c>
      <c r="AF88" s="487">
        <f t="shared" si="7"/>
        <v>13.19</v>
      </c>
      <c r="AG88" s="487">
        <f t="shared" si="7"/>
        <v>0</v>
      </c>
      <c r="AH88" s="4"/>
      <c r="AI88" s="247"/>
      <c r="AJ88" s="247"/>
      <c r="AK88" s="247"/>
    </row>
    <row r="89" spans="1:42" x14ac:dyDescent="0.2">
      <c r="A89" s="8">
        <v>15900</v>
      </c>
      <c r="B89" s="8" t="s">
        <v>147</v>
      </c>
      <c r="C89" s="8" t="s">
        <v>25</v>
      </c>
      <c r="D89" s="29" t="s">
        <v>2</v>
      </c>
      <c r="E89" s="347"/>
      <c r="F89" s="1">
        <v>38278.74</v>
      </c>
      <c r="G89" s="1">
        <v>0</v>
      </c>
      <c r="H89" s="1">
        <v>38278.74</v>
      </c>
      <c r="I89" s="484"/>
      <c r="J89" s="1">
        <f>'[1]App 4-Recyclables'!H89</f>
        <v>1339.64</v>
      </c>
      <c r="K89" s="1">
        <f>'[1]App 5-Organics'!H89+'[1]App 5-Organics'!L89</f>
        <v>165.67</v>
      </c>
      <c r="L89" s="485"/>
      <c r="M89" s="1">
        <f>'[1]App 4-Recyclables'!P89</f>
        <v>0</v>
      </c>
      <c r="N89" s="1">
        <f>'[1]App 5-Organics'!P89</f>
        <v>0</v>
      </c>
      <c r="O89" s="484"/>
      <c r="P89" s="1">
        <v>12991.83</v>
      </c>
      <c r="Q89" s="1">
        <v>3470.3700000000008</v>
      </c>
      <c r="R89" s="1">
        <v>9521.4599999999991</v>
      </c>
      <c r="S89" s="484"/>
      <c r="T89" s="1">
        <f>'[1]App 4-Recyclables'!T89</f>
        <v>0</v>
      </c>
      <c r="U89" s="1">
        <f>'[1]App 5-Organics'!T89</f>
        <v>0</v>
      </c>
      <c r="V89" s="484"/>
      <c r="W89" s="1">
        <v>3039.37</v>
      </c>
      <c r="X89" s="1">
        <v>0</v>
      </c>
      <c r="Y89" s="1">
        <v>3039.37</v>
      </c>
      <c r="Z89" s="484"/>
      <c r="AA89" s="486">
        <f t="shared" si="6"/>
        <v>52344.88</v>
      </c>
      <c r="AB89" s="484"/>
      <c r="AC89" s="487">
        <f t="shared" si="5"/>
        <v>54309.94</v>
      </c>
      <c r="AD89" s="487">
        <f t="shared" si="5"/>
        <v>3470.3700000000008</v>
      </c>
      <c r="AE89" s="487">
        <f t="shared" si="5"/>
        <v>50839.57</v>
      </c>
      <c r="AF89" s="487">
        <f t="shared" si="7"/>
        <v>1339.64</v>
      </c>
      <c r="AG89" s="487">
        <f t="shared" si="7"/>
        <v>165.67</v>
      </c>
      <c r="AH89" s="4"/>
      <c r="AI89" s="247">
        <v>12279.1</v>
      </c>
      <c r="AJ89" s="247">
        <v>0</v>
      </c>
      <c r="AK89" s="247">
        <v>12279</v>
      </c>
    </row>
    <row r="90" spans="1:42" x14ac:dyDescent="0.2">
      <c r="A90" s="8">
        <v>15950</v>
      </c>
      <c r="B90" s="8" t="s">
        <v>62</v>
      </c>
      <c r="C90" s="8" t="s">
        <v>26</v>
      </c>
      <c r="D90" s="29" t="s">
        <v>3</v>
      </c>
      <c r="E90" s="347"/>
      <c r="F90" s="1">
        <v>13195</v>
      </c>
      <c r="G90" s="1">
        <v>0</v>
      </c>
      <c r="H90" s="1">
        <v>13195</v>
      </c>
      <c r="I90" s="484"/>
      <c r="J90" s="1">
        <f>'[1]App 4-Recyclables'!H90</f>
        <v>356.57</v>
      </c>
      <c r="K90" s="1">
        <f>'[1]App 5-Organics'!H90+'[1]App 5-Organics'!L90</f>
        <v>0</v>
      </c>
      <c r="L90" s="485"/>
      <c r="M90" s="1">
        <f>'[1]App 4-Recyclables'!P90</f>
        <v>0</v>
      </c>
      <c r="N90" s="1">
        <f>'[1]App 5-Organics'!P90</f>
        <v>0</v>
      </c>
      <c r="O90" s="484"/>
      <c r="P90" s="1">
        <v>193</v>
      </c>
      <c r="Q90" s="1">
        <v>193</v>
      </c>
      <c r="R90" s="1">
        <v>0</v>
      </c>
      <c r="S90" s="484"/>
      <c r="T90" s="1">
        <f>'[1]App 4-Recyclables'!T90</f>
        <v>0</v>
      </c>
      <c r="U90" s="1">
        <f>'[1]App 5-Organics'!T90</f>
        <v>0</v>
      </c>
      <c r="V90" s="484"/>
      <c r="W90" s="1">
        <v>2332</v>
      </c>
      <c r="X90" s="1">
        <v>0</v>
      </c>
      <c r="Y90" s="1">
        <v>2332</v>
      </c>
      <c r="Z90" s="484"/>
      <c r="AA90" s="486">
        <f t="shared" si="6"/>
        <v>15883.57</v>
      </c>
      <c r="AB90" s="484"/>
      <c r="AC90" s="487">
        <f t="shared" si="5"/>
        <v>15720</v>
      </c>
      <c r="AD90" s="487">
        <f t="shared" si="5"/>
        <v>193</v>
      </c>
      <c r="AE90" s="487">
        <f t="shared" si="5"/>
        <v>15527</v>
      </c>
      <c r="AF90" s="487">
        <f t="shared" si="7"/>
        <v>356.57</v>
      </c>
      <c r="AG90" s="487">
        <f t="shared" si="7"/>
        <v>0</v>
      </c>
      <c r="AH90" s="4"/>
      <c r="AI90" s="247">
        <v>235</v>
      </c>
      <c r="AJ90" s="247">
        <v>235</v>
      </c>
      <c r="AK90" s="247">
        <v>0</v>
      </c>
    </row>
    <row r="91" spans="1:42" x14ac:dyDescent="0.2">
      <c r="A91" s="8">
        <v>15990</v>
      </c>
      <c r="B91" s="8" t="s">
        <v>148</v>
      </c>
      <c r="C91" s="8"/>
      <c r="D91" s="29" t="s">
        <v>3</v>
      </c>
      <c r="E91" s="347"/>
      <c r="F91" s="1">
        <v>47379.5</v>
      </c>
      <c r="G91" s="1">
        <v>16196.849999999999</v>
      </c>
      <c r="H91" s="1">
        <v>31182.65</v>
      </c>
      <c r="I91" s="484"/>
      <c r="J91" s="1">
        <f>'[1]App 4-Recyclables'!H91</f>
        <v>948.14</v>
      </c>
      <c r="K91" s="1">
        <f>'[1]App 5-Organics'!H91+'[1]App 5-Organics'!L91</f>
        <v>0</v>
      </c>
      <c r="L91" s="485"/>
      <c r="M91" s="1">
        <f>'[1]App 4-Recyclables'!P91</f>
        <v>0</v>
      </c>
      <c r="N91" s="1">
        <f>'[1]App 5-Organics'!P91</f>
        <v>0</v>
      </c>
      <c r="O91" s="484"/>
      <c r="P91" s="1">
        <v>1.46</v>
      </c>
      <c r="Q91" s="1">
        <v>1.46</v>
      </c>
      <c r="R91" s="1">
        <v>0</v>
      </c>
      <c r="S91" s="484"/>
      <c r="T91" s="1">
        <f>'[1]App 4-Recyclables'!T91</f>
        <v>17.43</v>
      </c>
      <c r="U91" s="1">
        <f>'[1]App 5-Organics'!T91</f>
        <v>0</v>
      </c>
      <c r="V91" s="484"/>
      <c r="W91" s="1">
        <v>9119.73</v>
      </c>
      <c r="X91" s="1">
        <v>0</v>
      </c>
      <c r="Y91" s="1">
        <v>9119.73</v>
      </c>
      <c r="Z91" s="484"/>
      <c r="AA91" s="486">
        <f t="shared" si="6"/>
        <v>41267.949999999997</v>
      </c>
      <c r="AB91" s="484"/>
      <c r="AC91" s="487">
        <f t="shared" si="5"/>
        <v>56500.69</v>
      </c>
      <c r="AD91" s="487">
        <f t="shared" si="5"/>
        <v>16198.309999999998</v>
      </c>
      <c r="AE91" s="487">
        <f t="shared" si="5"/>
        <v>40302.380000000005</v>
      </c>
      <c r="AF91" s="487">
        <f t="shared" si="7"/>
        <v>965.56999999999994</v>
      </c>
      <c r="AG91" s="487">
        <f t="shared" si="7"/>
        <v>0</v>
      </c>
      <c r="AH91" s="4"/>
      <c r="AI91" s="247">
        <v>0</v>
      </c>
      <c r="AJ91" s="247">
        <v>0</v>
      </c>
      <c r="AK91" s="247">
        <v>0</v>
      </c>
      <c r="AP91" s="476"/>
    </row>
    <row r="92" spans="1:42" x14ac:dyDescent="0.2">
      <c r="A92" s="8">
        <v>16100</v>
      </c>
      <c r="B92" s="8" t="s">
        <v>149</v>
      </c>
      <c r="C92" s="8" t="s">
        <v>42</v>
      </c>
      <c r="D92" s="29" t="s">
        <v>1</v>
      </c>
      <c r="E92" s="347"/>
      <c r="F92" s="1">
        <v>3739</v>
      </c>
      <c r="G92" s="1">
        <v>0</v>
      </c>
      <c r="H92" s="1">
        <v>3739</v>
      </c>
      <c r="I92" s="484"/>
      <c r="J92" s="1">
        <f>'[1]App 4-Recyclables'!H92</f>
        <v>0</v>
      </c>
      <c r="K92" s="1">
        <f>'[1]App 5-Organics'!H92+'[1]App 5-Organics'!L92</f>
        <v>0</v>
      </c>
      <c r="L92" s="485"/>
      <c r="M92" s="1">
        <f>'[1]App 4-Recyclables'!P92</f>
        <v>5</v>
      </c>
      <c r="N92" s="1">
        <f>'[1]App 5-Organics'!P92</f>
        <v>0</v>
      </c>
      <c r="O92" s="484"/>
      <c r="P92" s="1">
        <v>441</v>
      </c>
      <c r="Q92" s="1">
        <v>9</v>
      </c>
      <c r="R92" s="1">
        <v>432</v>
      </c>
      <c r="S92" s="484"/>
      <c r="T92" s="1">
        <f>'[1]App 4-Recyclables'!T92</f>
        <v>0.3</v>
      </c>
      <c r="U92" s="1">
        <f>'[1]App 5-Organics'!T92</f>
        <v>0</v>
      </c>
      <c r="V92" s="484"/>
      <c r="W92" s="1">
        <v>48</v>
      </c>
      <c r="X92" s="1">
        <v>5</v>
      </c>
      <c r="Y92" s="1">
        <v>43</v>
      </c>
      <c r="Z92" s="484"/>
      <c r="AA92" s="486">
        <f t="shared" si="6"/>
        <v>4219.3</v>
      </c>
      <c r="AB92" s="484"/>
      <c r="AC92" s="487">
        <f t="shared" si="5"/>
        <v>4228</v>
      </c>
      <c r="AD92" s="487">
        <f t="shared" si="5"/>
        <v>14</v>
      </c>
      <c r="AE92" s="487">
        <f t="shared" si="5"/>
        <v>4214</v>
      </c>
      <c r="AF92" s="487">
        <f t="shared" si="7"/>
        <v>5.3</v>
      </c>
      <c r="AG92" s="487">
        <f t="shared" si="7"/>
        <v>0</v>
      </c>
      <c r="AH92" s="4"/>
      <c r="AI92" s="247">
        <v>0</v>
      </c>
      <c r="AJ92" s="247">
        <v>0</v>
      </c>
      <c r="AK92" s="247">
        <v>0</v>
      </c>
    </row>
    <row r="93" spans="1:42" x14ac:dyDescent="0.2">
      <c r="A93" s="8">
        <v>16150</v>
      </c>
      <c r="B93" s="8" t="s">
        <v>150</v>
      </c>
      <c r="C93" s="8" t="s">
        <v>42</v>
      </c>
      <c r="D93" s="29" t="s">
        <v>1</v>
      </c>
      <c r="E93" s="347"/>
      <c r="F93" s="1">
        <v>10281.17</v>
      </c>
      <c r="G93" s="1">
        <v>0</v>
      </c>
      <c r="H93" s="1">
        <v>10281.17</v>
      </c>
      <c r="I93" s="484"/>
      <c r="J93" s="1">
        <f>'[1]App 4-Recyclables'!H93</f>
        <v>19.600000000000001</v>
      </c>
      <c r="K93" s="1">
        <f>'[1]App 5-Organics'!H93+'[1]App 5-Organics'!L93</f>
        <v>40.4</v>
      </c>
      <c r="L93" s="485"/>
      <c r="M93" s="1">
        <f>'[1]App 4-Recyclables'!P93</f>
        <v>0</v>
      </c>
      <c r="N93" s="1">
        <f>'[1]App 5-Organics'!P93</f>
        <v>0</v>
      </c>
      <c r="O93" s="484"/>
      <c r="P93" s="1">
        <v>8716.1299999999992</v>
      </c>
      <c r="Q93" s="1">
        <v>44.73</v>
      </c>
      <c r="R93" s="1">
        <v>8671.4</v>
      </c>
      <c r="S93" s="484"/>
      <c r="T93" s="1">
        <f>'[1]App 4-Recyclables'!T93</f>
        <v>1.24</v>
      </c>
      <c r="U93" s="1">
        <f>'[1]App 5-Organics'!T93</f>
        <v>0</v>
      </c>
      <c r="V93" s="484"/>
      <c r="W93" s="1">
        <v>295.89999999999998</v>
      </c>
      <c r="X93" s="1">
        <v>2.5</v>
      </c>
      <c r="Y93" s="1">
        <v>293.39999999999998</v>
      </c>
      <c r="Z93" s="484"/>
      <c r="AA93" s="486">
        <f t="shared" si="6"/>
        <v>19307.210000000003</v>
      </c>
      <c r="AB93" s="484"/>
      <c r="AC93" s="487">
        <f t="shared" si="5"/>
        <v>19293.2</v>
      </c>
      <c r="AD93" s="487">
        <f t="shared" si="5"/>
        <v>47.23</v>
      </c>
      <c r="AE93" s="487">
        <f t="shared" si="5"/>
        <v>19245.97</v>
      </c>
      <c r="AF93" s="487">
        <f t="shared" si="7"/>
        <v>20.84</v>
      </c>
      <c r="AG93" s="487">
        <f t="shared" si="7"/>
        <v>40.4</v>
      </c>
      <c r="AH93" s="4"/>
      <c r="AI93" s="247">
        <v>1061</v>
      </c>
      <c r="AJ93" s="247">
        <v>2</v>
      </c>
      <c r="AK93" s="247">
        <v>1059.0999999999999</v>
      </c>
    </row>
    <row r="94" spans="1:42" x14ac:dyDescent="0.2">
      <c r="A94" s="8">
        <v>16200</v>
      </c>
      <c r="B94" s="8" t="s">
        <v>151</v>
      </c>
      <c r="C94" s="8" t="s">
        <v>42</v>
      </c>
      <c r="D94" s="29" t="s">
        <v>1</v>
      </c>
      <c r="E94" s="347"/>
      <c r="F94" s="1">
        <v>2208</v>
      </c>
      <c r="G94" s="1">
        <v>0</v>
      </c>
      <c r="H94" s="1">
        <v>2208</v>
      </c>
      <c r="I94" s="484"/>
      <c r="J94" s="1">
        <f>'[1]App 4-Recyclables'!H94</f>
        <v>64.05</v>
      </c>
      <c r="K94" s="1">
        <f>'[1]App 5-Organics'!H94+'[1]App 5-Organics'!L94</f>
        <v>0</v>
      </c>
      <c r="L94" s="485"/>
      <c r="M94" s="1">
        <f>'[1]App 4-Recyclables'!P94</f>
        <v>12.1</v>
      </c>
      <c r="N94" s="1">
        <f>'[1]App 5-Organics'!P94</f>
        <v>0</v>
      </c>
      <c r="O94" s="484"/>
      <c r="P94" s="1">
        <v>878.6</v>
      </c>
      <c r="Q94" s="1">
        <v>5.5</v>
      </c>
      <c r="R94" s="1">
        <v>873.1</v>
      </c>
      <c r="S94" s="484"/>
      <c r="T94" s="1">
        <f>'[1]App 4-Recyclables'!T94</f>
        <v>1</v>
      </c>
      <c r="U94" s="1">
        <f>'[1]App 5-Organics'!T94</f>
        <v>0</v>
      </c>
      <c r="V94" s="484"/>
      <c r="W94" s="1">
        <v>20</v>
      </c>
      <c r="X94" s="1">
        <v>0</v>
      </c>
      <c r="Y94" s="1">
        <v>20</v>
      </c>
      <c r="Z94" s="484"/>
      <c r="AA94" s="486">
        <f t="shared" si="6"/>
        <v>3178.25</v>
      </c>
      <c r="AB94" s="484"/>
      <c r="AC94" s="487">
        <f t="shared" si="5"/>
        <v>3106.6</v>
      </c>
      <c r="AD94" s="487">
        <f t="shared" si="5"/>
        <v>5.5</v>
      </c>
      <c r="AE94" s="487">
        <f t="shared" si="5"/>
        <v>3101.1</v>
      </c>
      <c r="AF94" s="487">
        <f t="shared" si="7"/>
        <v>77.149999999999991</v>
      </c>
      <c r="AG94" s="487">
        <f t="shared" si="7"/>
        <v>0</v>
      </c>
      <c r="AH94" s="4"/>
      <c r="AI94" s="247">
        <v>9677.4699999999993</v>
      </c>
      <c r="AJ94" s="247">
        <v>1705</v>
      </c>
      <c r="AK94" s="247">
        <v>7972.41</v>
      </c>
    </row>
    <row r="95" spans="1:42" x14ac:dyDescent="0.2">
      <c r="A95" s="8">
        <v>16260</v>
      </c>
      <c r="B95" s="8" t="s">
        <v>63</v>
      </c>
      <c r="C95" s="8" t="s">
        <v>19</v>
      </c>
      <c r="D95" s="29" t="s">
        <v>3</v>
      </c>
      <c r="E95" s="347"/>
      <c r="F95" s="1">
        <v>50420</v>
      </c>
      <c r="G95" s="1">
        <v>17105</v>
      </c>
      <c r="H95" s="1">
        <v>33315</v>
      </c>
      <c r="I95" s="484"/>
      <c r="J95" s="1">
        <f>'[1]App 4-Recyclables'!H95</f>
        <v>1165</v>
      </c>
      <c r="K95" s="1">
        <f>'[1]App 5-Organics'!H95+'[1]App 5-Organics'!L95</f>
        <v>15</v>
      </c>
      <c r="L95" s="485"/>
      <c r="M95" s="1">
        <f>'[1]App 4-Recyclables'!P95</f>
        <v>0</v>
      </c>
      <c r="N95" s="1">
        <f>'[1]App 5-Organics'!P95</f>
        <v>0</v>
      </c>
      <c r="O95" s="484"/>
      <c r="P95" s="1">
        <v>81</v>
      </c>
      <c r="Q95" s="1">
        <v>81</v>
      </c>
      <c r="R95" s="1">
        <v>0</v>
      </c>
      <c r="S95" s="484"/>
      <c r="T95" s="1">
        <f>'[1]App 4-Recyclables'!T95</f>
        <v>0</v>
      </c>
      <c r="U95" s="1">
        <f>'[1]App 5-Organics'!T95</f>
        <v>0</v>
      </c>
      <c r="V95" s="484"/>
      <c r="W95" s="1">
        <v>3873</v>
      </c>
      <c r="X95" s="1">
        <v>3873</v>
      </c>
      <c r="Y95" s="1">
        <v>0</v>
      </c>
      <c r="Z95" s="484"/>
      <c r="AA95" s="486">
        <f t="shared" si="6"/>
        <v>34495</v>
      </c>
      <c r="AB95" s="484"/>
      <c r="AC95" s="487">
        <f t="shared" si="5"/>
        <v>54374</v>
      </c>
      <c r="AD95" s="487">
        <f t="shared" si="5"/>
        <v>21059</v>
      </c>
      <c r="AE95" s="487">
        <f t="shared" si="5"/>
        <v>33315</v>
      </c>
      <c r="AF95" s="487">
        <f t="shared" si="7"/>
        <v>1165</v>
      </c>
      <c r="AG95" s="487">
        <f t="shared" si="7"/>
        <v>15</v>
      </c>
      <c r="AH95" s="4"/>
      <c r="AI95" s="247">
        <v>1211</v>
      </c>
      <c r="AJ95" s="247">
        <v>0</v>
      </c>
      <c r="AK95" s="247">
        <v>1211</v>
      </c>
    </row>
    <row r="96" spans="1:42" x14ac:dyDescent="0.2">
      <c r="A96" s="8">
        <v>16350</v>
      </c>
      <c r="B96" s="8" t="s">
        <v>64</v>
      </c>
      <c r="C96" s="8" t="s">
        <v>19</v>
      </c>
      <c r="D96" s="29" t="s">
        <v>3</v>
      </c>
      <c r="E96" s="347"/>
      <c r="F96" s="1">
        <v>34115.85</v>
      </c>
      <c r="G96" s="1">
        <v>30</v>
      </c>
      <c r="H96" s="1">
        <v>34085.85</v>
      </c>
      <c r="I96" s="484"/>
      <c r="J96" s="1">
        <f>'[1]App 4-Recyclables'!H96</f>
        <v>1522.23</v>
      </c>
      <c r="K96" s="1">
        <f>'[1]App 5-Organics'!H96+'[1]App 5-Organics'!L96</f>
        <v>1244.53</v>
      </c>
      <c r="L96" s="485"/>
      <c r="M96" s="1">
        <f>'[1]App 4-Recyclables'!P96</f>
        <v>1.21</v>
      </c>
      <c r="N96" s="1">
        <f>'[1]App 5-Organics'!P96</f>
        <v>0</v>
      </c>
      <c r="O96" s="484"/>
      <c r="P96" s="1">
        <v>2</v>
      </c>
      <c r="Q96" s="1">
        <v>1.91</v>
      </c>
      <c r="R96" s="1">
        <v>0.09</v>
      </c>
      <c r="S96" s="484"/>
      <c r="T96" s="1">
        <f>'[1]App 4-Recyclables'!T96</f>
        <v>0</v>
      </c>
      <c r="U96" s="1">
        <f>'[1]App 5-Organics'!T96</f>
        <v>0</v>
      </c>
      <c r="V96" s="484"/>
      <c r="W96" s="1">
        <v>10037.84</v>
      </c>
      <c r="X96" s="1">
        <v>0</v>
      </c>
      <c r="Y96" s="1">
        <v>10037.84</v>
      </c>
      <c r="Z96" s="484"/>
      <c r="AA96" s="486">
        <f t="shared" si="6"/>
        <v>46891.75</v>
      </c>
      <c r="AB96" s="484"/>
      <c r="AC96" s="487">
        <f t="shared" si="5"/>
        <v>44155.69</v>
      </c>
      <c r="AD96" s="487">
        <f t="shared" si="5"/>
        <v>31.91</v>
      </c>
      <c r="AE96" s="487">
        <f t="shared" si="5"/>
        <v>44123.78</v>
      </c>
      <c r="AF96" s="487">
        <f t="shared" si="7"/>
        <v>1523.44</v>
      </c>
      <c r="AG96" s="487">
        <f t="shared" si="7"/>
        <v>1244.53</v>
      </c>
      <c r="AH96" s="4"/>
      <c r="AI96" s="247">
        <v>1057.1400000000001</v>
      </c>
      <c r="AJ96" s="247">
        <v>0</v>
      </c>
      <c r="AK96" s="247">
        <v>1057.1400000000001</v>
      </c>
    </row>
    <row r="97" spans="1:37" x14ac:dyDescent="0.2">
      <c r="A97" s="8">
        <v>16380</v>
      </c>
      <c r="B97" s="8" t="s">
        <v>152</v>
      </c>
      <c r="C97" s="8" t="s">
        <v>43</v>
      </c>
      <c r="D97" s="29" t="s">
        <v>4</v>
      </c>
      <c r="E97" s="347"/>
      <c r="F97" s="1">
        <v>11981.68</v>
      </c>
      <c r="G97" s="1">
        <v>0</v>
      </c>
      <c r="H97" s="1">
        <v>11981.68</v>
      </c>
      <c r="I97" s="484"/>
      <c r="J97" s="1">
        <f>'[1]App 4-Recyclables'!H97</f>
        <v>1243.4000000000001</v>
      </c>
      <c r="K97" s="1">
        <f>'[1]App 5-Organics'!H97+'[1]App 5-Organics'!L97</f>
        <v>60.32</v>
      </c>
      <c r="L97" s="485"/>
      <c r="M97" s="1">
        <f>'[1]App 4-Recyclables'!P97</f>
        <v>0</v>
      </c>
      <c r="N97" s="1">
        <f>'[1]App 5-Organics'!P97</f>
        <v>0</v>
      </c>
      <c r="O97" s="484"/>
      <c r="P97" s="1">
        <v>4078.6</v>
      </c>
      <c r="Q97" s="1">
        <v>32.730000000000004</v>
      </c>
      <c r="R97" s="1">
        <v>4045.87</v>
      </c>
      <c r="S97" s="484"/>
      <c r="T97" s="1">
        <f>'[1]App 4-Recyclables'!T97</f>
        <v>0</v>
      </c>
      <c r="U97" s="1">
        <f>'[1]App 5-Organics'!T97</f>
        <v>0</v>
      </c>
      <c r="V97" s="484"/>
      <c r="W97" s="1">
        <v>105.24</v>
      </c>
      <c r="X97" s="1">
        <v>0</v>
      </c>
      <c r="Y97" s="1">
        <v>105.24</v>
      </c>
      <c r="Z97" s="484"/>
      <c r="AA97" s="486">
        <f t="shared" si="6"/>
        <v>17436.510000000002</v>
      </c>
      <c r="AB97" s="484"/>
      <c r="AC97" s="487">
        <f t="shared" si="5"/>
        <v>16165.52</v>
      </c>
      <c r="AD97" s="487">
        <f t="shared" si="5"/>
        <v>32.730000000000004</v>
      </c>
      <c r="AE97" s="487">
        <f t="shared" si="5"/>
        <v>16132.789999999999</v>
      </c>
      <c r="AF97" s="487">
        <f t="shared" si="7"/>
        <v>1243.4000000000001</v>
      </c>
      <c r="AG97" s="487">
        <f t="shared" si="7"/>
        <v>60.32</v>
      </c>
      <c r="AH97" s="4"/>
      <c r="AI97" s="247">
        <v>885.05</v>
      </c>
      <c r="AJ97" s="247">
        <v>0</v>
      </c>
      <c r="AK97" s="247">
        <v>885.05</v>
      </c>
    </row>
    <row r="98" spans="1:37" x14ac:dyDescent="0.2">
      <c r="A98" s="8">
        <v>16400</v>
      </c>
      <c r="B98" s="8" t="s">
        <v>65</v>
      </c>
      <c r="C98" s="8" t="s">
        <v>25</v>
      </c>
      <c r="D98" s="29" t="s">
        <v>2</v>
      </c>
      <c r="E98" s="347"/>
      <c r="F98" s="1">
        <v>27854.75</v>
      </c>
      <c r="G98" s="1">
        <v>9655.4599999999991</v>
      </c>
      <c r="H98" s="1">
        <v>18199.29</v>
      </c>
      <c r="I98" s="484"/>
      <c r="J98" s="1">
        <f>'[1]App 4-Recyclables'!H98</f>
        <v>613.54999999999995</v>
      </c>
      <c r="K98" s="1">
        <f>'[1]App 5-Organics'!H98+'[1]App 5-Organics'!L98</f>
        <v>0</v>
      </c>
      <c r="L98" s="485"/>
      <c r="M98" s="1">
        <f>'[1]App 4-Recyclables'!P98</f>
        <v>0</v>
      </c>
      <c r="N98" s="1">
        <f>'[1]App 5-Organics'!P98</f>
        <v>0</v>
      </c>
      <c r="O98" s="484"/>
      <c r="P98" s="1">
        <v>5076.9699999999993</v>
      </c>
      <c r="Q98" s="1">
        <v>214.71999999999969</v>
      </c>
      <c r="R98" s="1">
        <v>4862.25</v>
      </c>
      <c r="S98" s="484"/>
      <c r="T98" s="1">
        <f>'[1]App 4-Recyclables'!T98</f>
        <v>0</v>
      </c>
      <c r="U98" s="1">
        <f>'[1]App 5-Organics'!T98</f>
        <v>0</v>
      </c>
      <c r="V98" s="484"/>
      <c r="W98" s="1">
        <v>1797.97</v>
      </c>
      <c r="X98" s="1">
        <v>495.46</v>
      </c>
      <c r="Y98" s="1">
        <v>1302.51</v>
      </c>
      <c r="Z98" s="484"/>
      <c r="AA98" s="486">
        <f t="shared" si="6"/>
        <v>24977.599999999999</v>
      </c>
      <c r="AB98" s="484"/>
      <c r="AC98" s="487">
        <f t="shared" si="5"/>
        <v>34729.69</v>
      </c>
      <c r="AD98" s="487">
        <f t="shared" si="5"/>
        <v>10365.639999999998</v>
      </c>
      <c r="AE98" s="487">
        <f t="shared" si="5"/>
        <v>24364.05</v>
      </c>
      <c r="AF98" s="487">
        <f t="shared" si="7"/>
        <v>613.54999999999995</v>
      </c>
      <c r="AG98" s="487">
        <f t="shared" si="7"/>
        <v>0</v>
      </c>
      <c r="AH98" s="4"/>
      <c r="AI98" s="247">
        <v>1435.55</v>
      </c>
      <c r="AJ98" s="247">
        <v>0</v>
      </c>
      <c r="AK98" s="247">
        <v>1435.55</v>
      </c>
    </row>
    <row r="99" spans="1:37" x14ac:dyDescent="0.2">
      <c r="A99" s="8">
        <v>16490</v>
      </c>
      <c r="B99" s="8" t="s">
        <v>153</v>
      </c>
      <c r="C99" s="8" t="s">
        <v>74</v>
      </c>
      <c r="D99" s="29" t="s">
        <v>1</v>
      </c>
      <c r="E99" s="347"/>
      <c r="F99" s="1">
        <v>11291.87</v>
      </c>
      <c r="G99" s="1">
        <v>0</v>
      </c>
      <c r="H99" s="1">
        <v>11291.87</v>
      </c>
      <c r="I99" s="484"/>
      <c r="J99" s="1">
        <f>'[1]App 4-Recyclables'!H99</f>
        <v>385</v>
      </c>
      <c r="K99" s="1">
        <f>'[1]App 5-Organics'!H99+'[1]App 5-Organics'!L99</f>
        <v>36</v>
      </c>
      <c r="L99" s="485"/>
      <c r="M99" s="1">
        <f>'[1]App 4-Recyclables'!P99</f>
        <v>0</v>
      </c>
      <c r="N99" s="1">
        <f>'[1]App 5-Organics'!P99</f>
        <v>0</v>
      </c>
      <c r="O99" s="484"/>
      <c r="P99" s="1">
        <v>3967.2200000000003</v>
      </c>
      <c r="Q99" s="1">
        <v>105.94</v>
      </c>
      <c r="R99" s="1">
        <v>3861.28</v>
      </c>
      <c r="S99" s="484"/>
      <c r="T99" s="1">
        <f>'[1]App 4-Recyclables'!T99</f>
        <v>0</v>
      </c>
      <c r="U99" s="1">
        <f>'[1]App 5-Organics'!T99</f>
        <v>0</v>
      </c>
      <c r="V99" s="484"/>
      <c r="W99" s="1">
        <v>440</v>
      </c>
      <c r="X99" s="1">
        <v>0</v>
      </c>
      <c r="Y99" s="1">
        <v>440</v>
      </c>
      <c r="Z99" s="484"/>
      <c r="AA99" s="486">
        <f t="shared" si="6"/>
        <v>16014.150000000001</v>
      </c>
      <c r="AB99" s="484"/>
      <c r="AC99" s="487">
        <f t="shared" si="5"/>
        <v>15699.09</v>
      </c>
      <c r="AD99" s="487">
        <f t="shared" si="5"/>
        <v>105.94</v>
      </c>
      <c r="AE99" s="487">
        <f t="shared" si="5"/>
        <v>15593.150000000001</v>
      </c>
      <c r="AF99" s="487">
        <f t="shared" si="7"/>
        <v>385</v>
      </c>
      <c r="AG99" s="487">
        <f t="shared" si="7"/>
        <v>36</v>
      </c>
      <c r="AH99" s="4"/>
      <c r="AI99" s="247"/>
      <c r="AJ99" s="247"/>
      <c r="AK99" s="247"/>
    </row>
    <row r="100" spans="1:37" x14ac:dyDescent="0.2">
      <c r="A100" s="8">
        <v>16550</v>
      </c>
      <c r="B100" s="8" t="s">
        <v>66</v>
      </c>
      <c r="C100" s="8" t="s">
        <v>18</v>
      </c>
      <c r="D100" s="29" t="s">
        <v>3</v>
      </c>
      <c r="E100" s="347"/>
      <c r="F100" s="1">
        <v>25421</v>
      </c>
      <c r="G100" s="1">
        <v>7652</v>
      </c>
      <c r="H100" s="1">
        <v>17769</v>
      </c>
      <c r="I100" s="484"/>
      <c r="J100" s="1">
        <f>'[1]App 4-Recyclables'!H100</f>
        <v>1495</v>
      </c>
      <c r="K100" s="1">
        <f>'[1]App 5-Organics'!H100+'[1]App 5-Organics'!L100</f>
        <v>354</v>
      </c>
      <c r="L100" s="485"/>
      <c r="M100" s="1">
        <f>'[1]App 4-Recyclables'!P100</f>
        <v>0</v>
      </c>
      <c r="N100" s="1">
        <f>'[1]App 5-Organics'!P100</f>
        <v>0</v>
      </c>
      <c r="O100" s="484"/>
      <c r="P100" s="1">
        <v>37</v>
      </c>
      <c r="Q100" s="1">
        <v>37</v>
      </c>
      <c r="R100" s="1">
        <v>0</v>
      </c>
      <c r="S100" s="484"/>
      <c r="T100" s="1">
        <f>'[1]App 4-Recyclables'!T100</f>
        <v>0</v>
      </c>
      <c r="U100" s="1">
        <f>'[1]App 5-Organics'!T100</f>
        <v>0</v>
      </c>
      <c r="V100" s="484"/>
      <c r="W100" s="1">
        <v>4350</v>
      </c>
      <c r="X100" s="1">
        <v>0</v>
      </c>
      <c r="Y100" s="1">
        <v>4350</v>
      </c>
      <c r="Z100" s="484"/>
      <c r="AA100" s="486">
        <f t="shared" si="6"/>
        <v>23968</v>
      </c>
      <c r="AB100" s="484"/>
      <c r="AC100" s="487">
        <f t="shared" si="5"/>
        <v>29808</v>
      </c>
      <c r="AD100" s="487">
        <f t="shared" si="5"/>
        <v>7689</v>
      </c>
      <c r="AE100" s="487">
        <f t="shared" si="5"/>
        <v>22119</v>
      </c>
      <c r="AF100" s="487">
        <f t="shared" si="7"/>
        <v>1495</v>
      </c>
      <c r="AG100" s="487">
        <f t="shared" si="7"/>
        <v>354</v>
      </c>
      <c r="AH100" s="4"/>
      <c r="AI100" s="247">
        <v>966</v>
      </c>
      <c r="AJ100" s="247">
        <v>291</v>
      </c>
      <c r="AK100" s="247">
        <v>675</v>
      </c>
    </row>
    <row r="101" spans="1:37" x14ac:dyDescent="0.2">
      <c r="A101" s="8">
        <v>16610</v>
      </c>
      <c r="B101" s="8" t="s">
        <v>154</v>
      </c>
      <c r="C101" s="8" t="s">
        <v>20</v>
      </c>
      <c r="D101" s="29" t="s">
        <v>4</v>
      </c>
      <c r="E101" s="347"/>
      <c r="F101" s="1">
        <v>3357</v>
      </c>
      <c r="G101" s="1">
        <v>0</v>
      </c>
      <c r="H101" s="1">
        <v>3357</v>
      </c>
      <c r="I101" s="484"/>
      <c r="J101" s="1">
        <f>'[1]App 4-Recyclables'!H101</f>
        <v>504</v>
      </c>
      <c r="K101" s="1">
        <f>'[1]App 5-Organics'!H101+'[1]App 5-Organics'!L101</f>
        <v>260</v>
      </c>
      <c r="L101" s="485"/>
      <c r="M101" s="1">
        <f>'[1]App 4-Recyclables'!P101</f>
        <v>0</v>
      </c>
      <c r="N101" s="1">
        <f>'[1]App 5-Organics'!P101</f>
        <v>0</v>
      </c>
      <c r="O101" s="484"/>
      <c r="P101" s="1">
        <v>1756</v>
      </c>
      <c r="Q101" s="1">
        <v>1</v>
      </c>
      <c r="R101" s="1">
        <v>1755</v>
      </c>
      <c r="S101" s="484"/>
      <c r="T101" s="1">
        <f>'[1]App 4-Recyclables'!T101</f>
        <v>0</v>
      </c>
      <c r="U101" s="1">
        <f>'[1]App 5-Organics'!T101</f>
        <v>0</v>
      </c>
      <c r="V101" s="484"/>
      <c r="W101" s="1">
        <v>0</v>
      </c>
      <c r="X101" s="1">
        <v>0</v>
      </c>
      <c r="Y101" s="1">
        <v>0</v>
      </c>
      <c r="Z101" s="484"/>
      <c r="AA101" s="486">
        <f t="shared" si="6"/>
        <v>5876</v>
      </c>
      <c r="AB101" s="484"/>
      <c r="AC101" s="487">
        <f t="shared" ref="AC101:AE131" si="8">F101+P101+W101</f>
        <v>5113</v>
      </c>
      <c r="AD101" s="487">
        <f t="shared" si="8"/>
        <v>1</v>
      </c>
      <c r="AE101" s="487">
        <f t="shared" si="8"/>
        <v>5112</v>
      </c>
      <c r="AF101" s="487">
        <f t="shared" si="7"/>
        <v>504</v>
      </c>
      <c r="AG101" s="487">
        <f t="shared" si="7"/>
        <v>260</v>
      </c>
      <c r="AH101" s="4"/>
      <c r="AI101" s="247">
        <v>49</v>
      </c>
      <c r="AJ101" s="247">
        <v>0</v>
      </c>
      <c r="AK101" s="247">
        <v>49</v>
      </c>
    </row>
    <row r="102" spans="1:37" x14ac:dyDescent="0.2">
      <c r="A102" s="8">
        <v>16700</v>
      </c>
      <c r="B102" s="8" t="s">
        <v>67</v>
      </c>
      <c r="C102" s="8" t="s">
        <v>26</v>
      </c>
      <c r="D102" s="29" t="s">
        <v>3</v>
      </c>
      <c r="E102" s="347"/>
      <c r="F102" s="1">
        <v>26016.74</v>
      </c>
      <c r="G102" s="1">
        <v>4037.4000000000015</v>
      </c>
      <c r="H102" s="1">
        <v>21979.34</v>
      </c>
      <c r="I102" s="484"/>
      <c r="J102" s="1">
        <f>'[1]App 4-Recyclables'!H102</f>
        <v>754.1</v>
      </c>
      <c r="K102" s="1">
        <f>'[1]App 5-Organics'!H102+'[1]App 5-Organics'!L102</f>
        <v>149.69999999999999</v>
      </c>
      <c r="L102" s="485"/>
      <c r="M102" s="1">
        <f>'[1]App 4-Recyclables'!P102</f>
        <v>0</v>
      </c>
      <c r="N102" s="1">
        <f>'[1]App 5-Organics'!P102</f>
        <v>0</v>
      </c>
      <c r="O102" s="484"/>
      <c r="P102" s="1">
        <v>115.41</v>
      </c>
      <c r="Q102" s="1">
        <v>115.41</v>
      </c>
      <c r="R102" s="1">
        <v>0</v>
      </c>
      <c r="S102" s="484"/>
      <c r="T102" s="1">
        <f>'[1]App 4-Recyclables'!T102</f>
        <v>0</v>
      </c>
      <c r="U102" s="1">
        <f>'[1]App 5-Organics'!T102</f>
        <v>0</v>
      </c>
      <c r="V102" s="484"/>
      <c r="W102" s="1">
        <v>5053.34</v>
      </c>
      <c r="X102" s="1">
        <v>859.06999999999971</v>
      </c>
      <c r="Y102" s="1">
        <v>4194.2700000000004</v>
      </c>
      <c r="Z102" s="484"/>
      <c r="AA102" s="486">
        <f t="shared" si="6"/>
        <v>27077.41</v>
      </c>
      <c r="AB102" s="484"/>
      <c r="AC102" s="487">
        <f t="shared" si="8"/>
        <v>31185.49</v>
      </c>
      <c r="AD102" s="487">
        <f t="shared" si="8"/>
        <v>5011.880000000001</v>
      </c>
      <c r="AE102" s="487">
        <f t="shared" si="8"/>
        <v>26173.61</v>
      </c>
      <c r="AF102" s="487">
        <f t="shared" ref="AF102:AG132" si="9">J102+M102+T102</f>
        <v>754.1</v>
      </c>
      <c r="AG102" s="487">
        <f t="shared" si="9"/>
        <v>149.69999999999999</v>
      </c>
      <c r="AH102" s="4"/>
      <c r="AI102" s="247">
        <v>608</v>
      </c>
      <c r="AJ102" s="247">
        <v>0</v>
      </c>
      <c r="AK102" s="247">
        <v>608</v>
      </c>
    </row>
    <row r="103" spans="1:37" x14ac:dyDescent="0.2">
      <c r="A103" s="8">
        <v>16900</v>
      </c>
      <c r="B103" s="8" t="s">
        <v>155</v>
      </c>
      <c r="C103" s="8" t="s">
        <v>41</v>
      </c>
      <c r="D103" s="29" t="s">
        <v>2</v>
      </c>
      <c r="E103" s="347"/>
      <c r="F103" s="1">
        <v>13907</v>
      </c>
      <c r="G103" s="1">
        <v>0</v>
      </c>
      <c r="H103" s="1">
        <v>13907</v>
      </c>
      <c r="I103" s="484"/>
      <c r="J103" s="1">
        <f>'[1]App 4-Recyclables'!H103</f>
        <v>516</v>
      </c>
      <c r="K103" s="1">
        <f>'[1]App 5-Organics'!H103+'[1]App 5-Organics'!L103</f>
        <v>242</v>
      </c>
      <c r="L103" s="485"/>
      <c r="M103" s="1">
        <f>'[1]App 4-Recyclables'!P103</f>
        <v>0</v>
      </c>
      <c r="N103" s="1">
        <f>'[1]App 5-Organics'!P103</f>
        <v>0</v>
      </c>
      <c r="O103" s="484"/>
      <c r="P103" s="1">
        <v>5270.5</v>
      </c>
      <c r="Q103" s="1">
        <v>94.5</v>
      </c>
      <c r="R103" s="1">
        <v>5176</v>
      </c>
      <c r="S103" s="484"/>
      <c r="T103" s="1">
        <f>'[1]App 4-Recyclables'!T103</f>
        <v>0</v>
      </c>
      <c r="U103" s="1">
        <f>'[1]App 5-Organics'!T103</f>
        <v>0</v>
      </c>
      <c r="V103" s="484"/>
      <c r="W103" s="1">
        <v>145.28</v>
      </c>
      <c r="X103" s="1">
        <v>72.64</v>
      </c>
      <c r="Y103" s="1">
        <v>72.64</v>
      </c>
      <c r="Z103" s="484"/>
      <c r="AA103" s="486">
        <f t="shared" si="6"/>
        <v>19913.64</v>
      </c>
      <c r="AB103" s="484"/>
      <c r="AC103" s="487">
        <f t="shared" si="8"/>
        <v>19322.78</v>
      </c>
      <c r="AD103" s="487">
        <f t="shared" si="8"/>
        <v>167.14</v>
      </c>
      <c r="AE103" s="487">
        <f t="shared" si="8"/>
        <v>19155.64</v>
      </c>
      <c r="AF103" s="487">
        <f t="shared" si="9"/>
        <v>516</v>
      </c>
      <c r="AG103" s="487">
        <f t="shared" si="9"/>
        <v>242</v>
      </c>
      <c r="AH103" s="4"/>
      <c r="AI103" s="247">
        <v>1089.77</v>
      </c>
      <c r="AJ103" s="247">
        <v>0</v>
      </c>
      <c r="AK103" s="247">
        <v>1089.77</v>
      </c>
    </row>
    <row r="104" spans="1:37" x14ac:dyDescent="0.2">
      <c r="A104" s="8">
        <v>16950</v>
      </c>
      <c r="B104" s="8" t="s">
        <v>156</v>
      </c>
      <c r="C104" s="8" t="s">
        <v>41</v>
      </c>
      <c r="D104" s="29" t="s">
        <v>2</v>
      </c>
      <c r="E104" s="347"/>
      <c r="F104" s="1">
        <v>30228</v>
      </c>
      <c r="G104" s="1">
        <v>0</v>
      </c>
      <c r="H104" s="1">
        <v>30228</v>
      </c>
      <c r="I104" s="484"/>
      <c r="J104" s="1">
        <f>'[1]App 4-Recyclables'!H104</f>
        <v>2474</v>
      </c>
      <c r="K104" s="1">
        <f>'[1]App 5-Organics'!H104+'[1]App 5-Organics'!L104</f>
        <v>0</v>
      </c>
      <c r="L104" s="485"/>
      <c r="M104" s="1">
        <f>'[1]App 4-Recyclables'!P104</f>
        <v>0</v>
      </c>
      <c r="N104" s="1">
        <f>'[1]App 5-Organics'!P104</f>
        <v>0</v>
      </c>
      <c r="O104" s="484"/>
      <c r="P104" s="1">
        <v>6310.2000000000007</v>
      </c>
      <c r="Q104" s="1">
        <v>2716.4</v>
      </c>
      <c r="R104" s="1">
        <v>3593.8</v>
      </c>
      <c r="S104" s="484"/>
      <c r="T104" s="1">
        <f>'[1]App 4-Recyclables'!T104</f>
        <v>0</v>
      </c>
      <c r="U104" s="1">
        <f>'[1]App 5-Organics'!T104</f>
        <v>0</v>
      </c>
      <c r="V104" s="484"/>
      <c r="W104" s="1">
        <v>9702.9</v>
      </c>
      <c r="X104" s="1">
        <v>1436.8000000000002</v>
      </c>
      <c r="Y104" s="1">
        <v>8266.1</v>
      </c>
      <c r="Z104" s="484"/>
      <c r="AA104" s="486">
        <f t="shared" si="6"/>
        <v>44561.9</v>
      </c>
      <c r="AB104" s="484"/>
      <c r="AC104" s="487">
        <f t="shared" si="8"/>
        <v>46241.1</v>
      </c>
      <c r="AD104" s="487">
        <f t="shared" si="8"/>
        <v>4153.2000000000007</v>
      </c>
      <c r="AE104" s="487">
        <f t="shared" si="8"/>
        <v>42087.9</v>
      </c>
      <c r="AF104" s="487">
        <f t="shared" si="9"/>
        <v>2474</v>
      </c>
      <c r="AG104" s="487">
        <f t="shared" si="9"/>
        <v>0</v>
      </c>
      <c r="AH104" s="4"/>
      <c r="AI104" s="247">
        <v>1219.5999999999999</v>
      </c>
      <c r="AJ104" s="247">
        <v>0</v>
      </c>
      <c r="AK104" s="247">
        <v>1219.5999999999999</v>
      </c>
    </row>
    <row r="105" spans="1:37" x14ac:dyDescent="0.2">
      <c r="A105" s="8">
        <v>17000</v>
      </c>
      <c r="B105" s="8" t="s">
        <v>157</v>
      </c>
      <c r="C105" s="8" t="s">
        <v>25</v>
      </c>
      <c r="D105" s="29" t="s">
        <v>4</v>
      </c>
      <c r="E105" s="347"/>
      <c r="F105" s="1">
        <v>6149.1</v>
      </c>
      <c r="G105" s="1">
        <v>0</v>
      </c>
      <c r="H105" s="1">
        <v>6149.1</v>
      </c>
      <c r="I105" s="484"/>
      <c r="J105" s="1">
        <f>'[1]App 4-Recyclables'!H105</f>
        <v>99.82</v>
      </c>
      <c r="K105" s="1">
        <f>'[1]App 5-Organics'!H105+'[1]App 5-Organics'!L105</f>
        <v>25.67</v>
      </c>
      <c r="L105" s="485"/>
      <c r="M105" s="1">
        <f>'[1]App 4-Recyclables'!P105</f>
        <v>0</v>
      </c>
      <c r="N105" s="1">
        <f>'[1]App 5-Organics'!P105</f>
        <v>0</v>
      </c>
      <c r="O105" s="484"/>
      <c r="P105" s="1">
        <v>1629.56</v>
      </c>
      <c r="Q105" s="1">
        <v>124.12</v>
      </c>
      <c r="R105" s="1">
        <v>1505.4399999999998</v>
      </c>
      <c r="S105" s="484"/>
      <c r="T105" s="1">
        <f>'[1]App 4-Recyclables'!T105</f>
        <v>0</v>
      </c>
      <c r="U105" s="1">
        <f>'[1]App 5-Organics'!T105</f>
        <v>0</v>
      </c>
      <c r="V105" s="484"/>
      <c r="W105" s="1">
        <v>602.55999999999995</v>
      </c>
      <c r="X105" s="1">
        <v>13.5</v>
      </c>
      <c r="Y105" s="1">
        <v>589.05999999999995</v>
      </c>
      <c r="Z105" s="484"/>
      <c r="AA105" s="486">
        <f t="shared" si="6"/>
        <v>8369.09</v>
      </c>
      <c r="AB105" s="484"/>
      <c r="AC105" s="487">
        <f t="shared" si="8"/>
        <v>8381.2199999999993</v>
      </c>
      <c r="AD105" s="487">
        <f t="shared" si="8"/>
        <v>137.62</v>
      </c>
      <c r="AE105" s="487">
        <f t="shared" si="8"/>
        <v>8243.6</v>
      </c>
      <c r="AF105" s="487">
        <f t="shared" si="9"/>
        <v>99.82</v>
      </c>
      <c r="AG105" s="487">
        <f t="shared" si="9"/>
        <v>25.67</v>
      </c>
      <c r="AH105" s="4"/>
      <c r="AI105" s="247"/>
      <c r="AJ105" s="247"/>
      <c r="AK105" s="247"/>
    </row>
    <row r="106" spans="1:37" x14ac:dyDescent="0.2">
      <c r="A106" s="8">
        <v>17040</v>
      </c>
      <c r="B106" s="8" t="s">
        <v>158</v>
      </c>
      <c r="C106" s="8" t="s">
        <v>74</v>
      </c>
      <c r="D106" s="29" t="s">
        <v>1</v>
      </c>
      <c r="E106" s="347"/>
      <c r="F106" s="1">
        <v>3576.77</v>
      </c>
      <c r="G106" s="1">
        <v>0</v>
      </c>
      <c r="H106" s="1">
        <v>3576.77</v>
      </c>
      <c r="I106" s="484"/>
      <c r="J106" s="1">
        <f>'[1]App 4-Recyclables'!H106</f>
        <v>56.52</v>
      </c>
      <c r="K106" s="1">
        <f>'[1]App 5-Organics'!H106+'[1]App 5-Organics'!L106</f>
        <v>0</v>
      </c>
      <c r="L106" s="485"/>
      <c r="M106" s="1">
        <f>'[1]App 4-Recyclables'!P106</f>
        <v>0</v>
      </c>
      <c r="N106" s="1">
        <f>'[1]App 5-Organics'!P106</f>
        <v>0</v>
      </c>
      <c r="O106" s="484"/>
      <c r="P106" s="1">
        <v>2167.6800000000003</v>
      </c>
      <c r="Q106" s="1">
        <v>157.77000000000001</v>
      </c>
      <c r="R106" s="1">
        <v>2009.91</v>
      </c>
      <c r="S106" s="484"/>
      <c r="T106" s="1">
        <f>'[1]App 4-Recyclables'!T106</f>
        <v>0</v>
      </c>
      <c r="U106" s="1">
        <f>'[1]App 5-Organics'!T106</f>
        <v>0</v>
      </c>
      <c r="V106" s="484"/>
      <c r="W106" s="1">
        <v>0</v>
      </c>
      <c r="X106" s="1">
        <v>0</v>
      </c>
      <c r="Y106" s="1">
        <v>0</v>
      </c>
      <c r="Z106" s="484"/>
      <c r="AA106" s="486">
        <f t="shared" si="6"/>
        <v>5643.2</v>
      </c>
      <c r="AB106" s="484"/>
      <c r="AC106" s="487">
        <f t="shared" si="8"/>
        <v>5744.4500000000007</v>
      </c>
      <c r="AD106" s="487">
        <f t="shared" si="8"/>
        <v>157.77000000000001</v>
      </c>
      <c r="AE106" s="487">
        <f t="shared" si="8"/>
        <v>5586.68</v>
      </c>
      <c r="AF106" s="487">
        <f t="shared" si="9"/>
        <v>56.52</v>
      </c>
      <c r="AG106" s="487">
        <f t="shared" si="9"/>
        <v>0</v>
      </c>
      <c r="AH106" s="4"/>
      <c r="AI106" s="247"/>
      <c r="AJ106" s="247"/>
      <c r="AK106" s="247"/>
    </row>
    <row r="107" spans="1:37" x14ac:dyDescent="0.2">
      <c r="A107" s="8">
        <v>17080</v>
      </c>
      <c r="B107" s="8" t="s">
        <v>159</v>
      </c>
      <c r="C107" s="8" t="s">
        <v>74</v>
      </c>
      <c r="D107" s="29" t="s">
        <v>1</v>
      </c>
      <c r="E107" s="347"/>
      <c r="F107" s="1">
        <v>4963</v>
      </c>
      <c r="G107" s="1">
        <v>0</v>
      </c>
      <c r="H107" s="1">
        <v>4963</v>
      </c>
      <c r="I107" s="484"/>
      <c r="J107" s="1">
        <f>'[1]App 4-Recyclables'!H107</f>
        <v>1717</v>
      </c>
      <c r="K107" s="1">
        <f>'[1]App 5-Organics'!H107+'[1]App 5-Organics'!L107</f>
        <v>0</v>
      </c>
      <c r="L107" s="485"/>
      <c r="M107" s="1">
        <f>'[1]App 4-Recyclables'!P107</f>
        <v>0</v>
      </c>
      <c r="N107" s="1">
        <f>'[1]App 5-Organics'!P107</f>
        <v>0</v>
      </c>
      <c r="O107" s="484"/>
      <c r="P107" s="1">
        <v>1010</v>
      </c>
      <c r="Q107" s="1">
        <v>0</v>
      </c>
      <c r="R107" s="1">
        <v>1010</v>
      </c>
      <c r="S107" s="484"/>
      <c r="T107" s="1">
        <f>'[1]App 4-Recyclables'!T107</f>
        <v>0</v>
      </c>
      <c r="U107" s="1">
        <f>'[1]App 5-Organics'!T107</f>
        <v>0</v>
      </c>
      <c r="V107" s="484"/>
      <c r="W107" s="1">
        <v>0</v>
      </c>
      <c r="X107" s="1">
        <v>0</v>
      </c>
      <c r="Y107" s="1">
        <v>0</v>
      </c>
      <c r="Z107" s="484"/>
      <c r="AA107" s="486">
        <f t="shared" si="6"/>
        <v>7690</v>
      </c>
      <c r="AB107" s="484"/>
      <c r="AC107" s="487">
        <f t="shared" si="8"/>
        <v>5973</v>
      </c>
      <c r="AD107" s="487">
        <f t="shared" si="8"/>
        <v>0</v>
      </c>
      <c r="AE107" s="487">
        <f t="shared" si="8"/>
        <v>5973</v>
      </c>
      <c r="AF107" s="487">
        <f t="shared" si="9"/>
        <v>1717</v>
      </c>
      <c r="AG107" s="487">
        <f t="shared" si="9"/>
        <v>0</v>
      </c>
      <c r="AH107" s="4"/>
      <c r="AI107" s="247">
        <v>100</v>
      </c>
      <c r="AJ107" s="247">
        <v>0</v>
      </c>
      <c r="AK107" s="247">
        <v>100</v>
      </c>
    </row>
    <row r="108" spans="1:37" x14ac:dyDescent="0.2">
      <c r="A108" s="8">
        <v>17100</v>
      </c>
      <c r="B108" s="8" t="s">
        <v>160</v>
      </c>
      <c r="C108" s="8"/>
      <c r="D108" s="29" t="s">
        <v>3</v>
      </c>
      <c r="E108" s="347"/>
      <c r="F108" s="1">
        <v>10395</v>
      </c>
      <c r="G108" s="1">
        <v>0</v>
      </c>
      <c r="H108" s="1">
        <v>10395</v>
      </c>
      <c r="I108" s="484"/>
      <c r="J108" s="1">
        <f>'[1]App 4-Recyclables'!H108</f>
        <v>194</v>
      </c>
      <c r="K108" s="1">
        <f>'[1]App 5-Organics'!H108+'[1]App 5-Organics'!L108</f>
        <v>0</v>
      </c>
      <c r="L108" s="485"/>
      <c r="M108" s="1">
        <f>'[1]App 4-Recyclables'!P108</f>
        <v>0</v>
      </c>
      <c r="N108" s="1">
        <f>'[1]App 5-Organics'!P108</f>
        <v>0</v>
      </c>
      <c r="O108" s="484"/>
      <c r="P108" s="1">
        <v>27.31</v>
      </c>
      <c r="Q108" s="1">
        <v>23.81</v>
      </c>
      <c r="R108" s="1">
        <v>3.5</v>
      </c>
      <c r="S108" s="484"/>
      <c r="T108" s="1">
        <f>'[1]App 4-Recyclables'!T108</f>
        <v>0</v>
      </c>
      <c r="U108" s="1">
        <f>'[1]App 5-Organics'!T108</f>
        <v>0</v>
      </c>
      <c r="V108" s="484"/>
      <c r="W108" s="1">
        <v>1199</v>
      </c>
      <c r="X108" s="1">
        <v>240</v>
      </c>
      <c r="Y108" s="1">
        <v>959</v>
      </c>
      <c r="Z108" s="484"/>
      <c r="AA108" s="486">
        <f t="shared" si="6"/>
        <v>11551.5</v>
      </c>
      <c r="AB108" s="484"/>
      <c r="AC108" s="487">
        <f t="shared" si="8"/>
        <v>11621.31</v>
      </c>
      <c r="AD108" s="487">
        <f t="shared" si="8"/>
        <v>263.81</v>
      </c>
      <c r="AE108" s="487">
        <f t="shared" si="8"/>
        <v>11357.5</v>
      </c>
      <c r="AF108" s="487">
        <f t="shared" si="9"/>
        <v>194</v>
      </c>
      <c r="AG108" s="487">
        <f t="shared" si="9"/>
        <v>0</v>
      </c>
      <c r="AH108" s="4"/>
      <c r="AI108" s="247">
        <v>0</v>
      </c>
      <c r="AJ108" s="247">
        <v>0</v>
      </c>
      <c r="AK108" s="247">
        <v>0</v>
      </c>
    </row>
    <row r="109" spans="1:37" x14ac:dyDescent="0.2">
      <c r="A109" s="8">
        <v>17150</v>
      </c>
      <c r="B109" s="8" t="s">
        <v>161</v>
      </c>
      <c r="C109" s="8" t="s">
        <v>18</v>
      </c>
      <c r="D109" s="29" t="s">
        <v>3</v>
      </c>
      <c r="E109" s="347"/>
      <c r="F109" s="1">
        <v>52524</v>
      </c>
      <c r="G109" s="1">
        <v>0</v>
      </c>
      <c r="H109" s="1">
        <v>52524</v>
      </c>
      <c r="I109" s="484"/>
      <c r="J109" s="1">
        <f>'[1]App 4-Recyclables'!H109</f>
        <v>2082.96</v>
      </c>
      <c r="K109" s="1">
        <f>'[1]App 5-Organics'!H109+'[1]App 5-Organics'!L109</f>
        <v>0</v>
      </c>
      <c r="L109" s="485"/>
      <c r="M109" s="1">
        <f>'[1]App 4-Recyclables'!P109</f>
        <v>0</v>
      </c>
      <c r="N109" s="1">
        <f>'[1]App 5-Organics'!P109</f>
        <v>0</v>
      </c>
      <c r="O109" s="484"/>
      <c r="P109" s="1">
        <v>9580</v>
      </c>
      <c r="Q109" s="1">
        <v>9580</v>
      </c>
      <c r="R109" s="1">
        <v>0</v>
      </c>
      <c r="S109" s="484"/>
      <c r="T109" s="1">
        <f>'[1]App 4-Recyclables'!T109</f>
        <v>0</v>
      </c>
      <c r="U109" s="1">
        <f>'[1]App 5-Organics'!T109</f>
        <v>0</v>
      </c>
      <c r="V109" s="484"/>
      <c r="W109" s="1">
        <v>9336</v>
      </c>
      <c r="X109" s="1">
        <v>118</v>
      </c>
      <c r="Y109" s="1">
        <v>9218</v>
      </c>
      <c r="Z109" s="484"/>
      <c r="AA109" s="486">
        <f t="shared" si="6"/>
        <v>63824.959999999999</v>
      </c>
      <c r="AB109" s="484"/>
      <c r="AC109" s="487">
        <f t="shared" si="8"/>
        <v>71440</v>
      </c>
      <c r="AD109" s="487">
        <f t="shared" si="8"/>
        <v>9698</v>
      </c>
      <c r="AE109" s="487">
        <f t="shared" si="8"/>
        <v>61742</v>
      </c>
      <c r="AF109" s="487">
        <f t="shared" si="9"/>
        <v>2082.96</v>
      </c>
      <c r="AG109" s="487">
        <f t="shared" si="9"/>
        <v>0</v>
      </c>
      <c r="AH109" s="4"/>
      <c r="AI109" s="247">
        <v>0</v>
      </c>
      <c r="AJ109" s="247">
        <v>0</v>
      </c>
      <c r="AK109" s="247">
        <v>0</v>
      </c>
    </row>
    <row r="110" spans="1:37" x14ac:dyDescent="0.2">
      <c r="A110" s="8">
        <v>17200</v>
      </c>
      <c r="B110" s="8" t="s">
        <v>68</v>
      </c>
      <c r="C110" s="8" t="s">
        <v>18</v>
      </c>
      <c r="D110" s="29" t="s">
        <v>3</v>
      </c>
      <c r="E110" s="347"/>
      <c r="F110" s="1">
        <v>44582</v>
      </c>
      <c r="G110" s="1">
        <v>13465</v>
      </c>
      <c r="H110" s="1">
        <v>31117</v>
      </c>
      <c r="I110" s="484"/>
      <c r="J110" s="1">
        <f>'[1]App 4-Recyclables'!H110</f>
        <v>1142</v>
      </c>
      <c r="K110" s="1">
        <f>'[1]App 5-Organics'!H110+'[1]App 5-Organics'!L110</f>
        <v>82</v>
      </c>
      <c r="L110" s="485"/>
      <c r="M110" s="1">
        <f>'[1]App 4-Recyclables'!P110</f>
        <v>0</v>
      </c>
      <c r="N110" s="1">
        <f>'[1]App 5-Organics'!P110</f>
        <v>0</v>
      </c>
      <c r="O110" s="484"/>
      <c r="P110" s="1">
        <v>33.909999999999997</v>
      </c>
      <c r="Q110" s="1">
        <v>33.909999999999997</v>
      </c>
      <c r="R110" s="1">
        <v>0</v>
      </c>
      <c r="S110" s="484"/>
      <c r="T110" s="1">
        <f>'[1]App 4-Recyclables'!T110</f>
        <v>290.52999999999997</v>
      </c>
      <c r="U110" s="1">
        <f>'[1]App 5-Organics'!T110</f>
        <v>0</v>
      </c>
      <c r="V110" s="484"/>
      <c r="W110" s="1">
        <v>4623</v>
      </c>
      <c r="X110" s="1">
        <v>501</v>
      </c>
      <c r="Y110" s="1">
        <v>4122</v>
      </c>
      <c r="Z110" s="484"/>
      <c r="AA110" s="486">
        <f t="shared" si="6"/>
        <v>36753.53</v>
      </c>
      <c r="AB110" s="484"/>
      <c r="AC110" s="487">
        <f t="shared" si="8"/>
        <v>49238.91</v>
      </c>
      <c r="AD110" s="487">
        <f t="shared" si="8"/>
        <v>13999.91</v>
      </c>
      <c r="AE110" s="487">
        <f t="shared" si="8"/>
        <v>35239</v>
      </c>
      <c r="AF110" s="487">
        <f t="shared" si="9"/>
        <v>1432.53</v>
      </c>
      <c r="AG110" s="487">
        <f t="shared" si="9"/>
        <v>82</v>
      </c>
      <c r="AH110" s="4"/>
      <c r="AI110" s="247">
        <v>5336</v>
      </c>
      <c r="AJ110" s="247">
        <v>1591</v>
      </c>
      <c r="AK110" s="247">
        <v>3745</v>
      </c>
    </row>
    <row r="111" spans="1:37" x14ac:dyDescent="0.2">
      <c r="A111" s="8">
        <v>17310</v>
      </c>
      <c r="B111" s="8" t="s">
        <v>162</v>
      </c>
      <c r="C111" s="8" t="s">
        <v>17</v>
      </c>
      <c r="D111" s="29" t="s">
        <v>1</v>
      </c>
      <c r="E111" s="347"/>
      <c r="F111" s="1">
        <v>15721.3</v>
      </c>
      <c r="G111" s="1">
        <v>0</v>
      </c>
      <c r="H111" s="1">
        <v>15721.3</v>
      </c>
      <c r="I111" s="484"/>
      <c r="J111" s="1">
        <f>'[1]App 4-Recyclables'!H111</f>
        <v>396.7</v>
      </c>
      <c r="K111" s="1">
        <f>'[1]App 5-Organics'!H111+'[1]App 5-Organics'!L111</f>
        <v>28.02</v>
      </c>
      <c r="L111" s="485"/>
      <c r="M111" s="1">
        <f>'[1]App 4-Recyclables'!P111</f>
        <v>0</v>
      </c>
      <c r="N111" s="1">
        <f>'[1]App 5-Organics'!P111</f>
        <v>0</v>
      </c>
      <c r="O111" s="484"/>
      <c r="P111" s="1">
        <v>6516.31</v>
      </c>
      <c r="Q111" s="1">
        <v>1792.51</v>
      </c>
      <c r="R111" s="1">
        <v>4723.8</v>
      </c>
      <c r="S111" s="484"/>
      <c r="T111" s="1">
        <f>'[1]App 4-Recyclables'!T111</f>
        <v>0</v>
      </c>
      <c r="U111" s="1">
        <f>'[1]App 5-Organics'!T111</f>
        <v>0</v>
      </c>
      <c r="V111" s="484"/>
      <c r="W111" s="1">
        <v>630.22</v>
      </c>
      <c r="X111" s="1">
        <v>0</v>
      </c>
      <c r="Y111" s="1">
        <v>630.22</v>
      </c>
      <c r="Z111" s="484"/>
      <c r="AA111" s="486">
        <f t="shared" si="6"/>
        <v>21500.04</v>
      </c>
      <c r="AB111" s="484"/>
      <c r="AC111" s="487">
        <f t="shared" si="8"/>
        <v>22867.83</v>
      </c>
      <c r="AD111" s="487">
        <f t="shared" si="8"/>
        <v>1792.51</v>
      </c>
      <c r="AE111" s="487">
        <f t="shared" si="8"/>
        <v>21075.32</v>
      </c>
      <c r="AF111" s="487">
        <f t="shared" si="9"/>
        <v>396.7</v>
      </c>
      <c r="AG111" s="487">
        <f t="shared" si="9"/>
        <v>28.02</v>
      </c>
      <c r="AH111" s="4"/>
      <c r="AI111" s="247">
        <v>78.58</v>
      </c>
      <c r="AJ111" s="247">
        <v>0</v>
      </c>
      <c r="AK111" s="247">
        <v>78.58</v>
      </c>
    </row>
    <row r="112" spans="1:37" x14ac:dyDescent="0.2">
      <c r="A112" s="8">
        <v>17350</v>
      </c>
      <c r="B112" s="8" t="s">
        <v>163</v>
      </c>
      <c r="C112" s="8" t="s">
        <v>22</v>
      </c>
      <c r="D112" s="29" t="s">
        <v>1</v>
      </c>
      <c r="E112" s="347"/>
      <c r="F112" s="1">
        <v>2188</v>
      </c>
      <c r="G112" s="1">
        <v>0</v>
      </c>
      <c r="H112" s="1">
        <v>2188</v>
      </c>
      <c r="I112" s="484"/>
      <c r="J112" s="1">
        <f>'[1]App 4-Recyclables'!H112</f>
        <v>0</v>
      </c>
      <c r="K112" s="1">
        <f>'[1]App 5-Organics'!H112+'[1]App 5-Organics'!L112</f>
        <v>0</v>
      </c>
      <c r="L112" s="485"/>
      <c r="M112" s="1">
        <f>'[1]App 4-Recyclables'!P112</f>
        <v>66</v>
      </c>
      <c r="N112" s="1">
        <f>'[1]App 5-Organics'!P112</f>
        <v>0</v>
      </c>
      <c r="O112" s="484"/>
      <c r="P112" s="1">
        <v>45</v>
      </c>
      <c r="Q112" s="1">
        <v>0</v>
      </c>
      <c r="R112" s="1">
        <v>45</v>
      </c>
      <c r="S112" s="484"/>
      <c r="T112" s="1">
        <f>'[1]App 4-Recyclables'!T112</f>
        <v>0</v>
      </c>
      <c r="U112" s="1">
        <f>'[1]App 5-Organics'!T112</f>
        <v>0</v>
      </c>
      <c r="V112" s="484"/>
      <c r="W112" s="1">
        <v>24</v>
      </c>
      <c r="X112" s="1">
        <v>0</v>
      </c>
      <c r="Y112" s="1">
        <v>24</v>
      </c>
      <c r="Z112" s="484"/>
      <c r="AA112" s="486">
        <f t="shared" si="6"/>
        <v>2323</v>
      </c>
      <c r="AB112" s="484"/>
      <c r="AC112" s="487">
        <f t="shared" si="8"/>
        <v>2257</v>
      </c>
      <c r="AD112" s="487">
        <f t="shared" si="8"/>
        <v>0</v>
      </c>
      <c r="AE112" s="487">
        <f t="shared" si="8"/>
        <v>2257</v>
      </c>
      <c r="AF112" s="487">
        <f t="shared" si="9"/>
        <v>66</v>
      </c>
      <c r="AG112" s="487">
        <f t="shared" si="9"/>
        <v>0</v>
      </c>
      <c r="AH112" s="4"/>
      <c r="AI112" s="247"/>
      <c r="AJ112" s="247"/>
      <c r="AK112" s="247"/>
    </row>
    <row r="113" spans="1:37" x14ac:dyDescent="0.2">
      <c r="A113" s="8">
        <v>17400</v>
      </c>
      <c r="B113" s="8" t="s">
        <v>164</v>
      </c>
      <c r="C113" s="8" t="s">
        <v>17</v>
      </c>
      <c r="D113" s="29" t="s">
        <v>1</v>
      </c>
      <c r="E113" s="347"/>
      <c r="F113" s="1">
        <v>1090.7</v>
      </c>
      <c r="G113" s="1">
        <v>0</v>
      </c>
      <c r="H113" s="1">
        <v>1090.7</v>
      </c>
      <c r="I113" s="484"/>
      <c r="J113" s="1">
        <f>'[1]App 4-Recyclables'!H113</f>
        <v>15.72</v>
      </c>
      <c r="K113" s="1">
        <f>'[1]App 5-Organics'!H113+'[1]App 5-Organics'!L113</f>
        <v>0</v>
      </c>
      <c r="L113" s="485"/>
      <c r="M113" s="1">
        <f>'[1]App 4-Recyclables'!P113</f>
        <v>0</v>
      </c>
      <c r="N113" s="1">
        <f>'[1]App 5-Organics'!P113</f>
        <v>0</v>
      </c>
      <c r="O113" s="484"/>
      <c r="P113" s="1">
        <v>1480.02</v>
      </c>
      <c r="Q113" s="1">
        <v>2.02</v>
      </c>
      <c r="R113" s="1">
        <v>1478</v>
      </c>
      <c r="S113" s="484"/>
      <c r="T113" s="1">
        <f>'[1]App 4-Recyclables'!T113</f>
        <v>0</v>
      </c>
      <c r="U113" s="1">
        <f>'[1]App 5-Organics'!T113</f>
        <v>0</v>
      </c>
      <c r="V113" s="484"/>
      <c r="W113" s="1">
        <v>0</v>
      </c>
      <c r="X113" s="1">
        <v>0</v>
      </c>
      <c r="Y113" s="1">
        <v>0</v>
      </c>
      <c r="Z113" s="484"/>
      <c r="AA113" s="486">
        <f t="shared" si="6"/>
        <v>2584.42</v>
      </c>
      <c r="AB113" s="484"/>
      <c r="AC113" s="487">
        <f t="shared" si="8"/>
        <v>2570.7200000000003</v>
      </c>
      <c r="AD113" s="487">
        <f t="shared" si="8"/>
        <v>2.02</v>
      </c>
      <c r="AE113" s="487">
        <f t="shared" si="8"/>
        <v>2568.6999999999998</v>
      </c>
      <c r="AF113" s="487">
        <f t="shared" si="9"/>
        <v>15.72</v>
      </c>
      <c r="AG113" s="487">
        <f t="shared" si="9"/>
        <v>0</v>
      </c>
      <c r="AH113" s="4"/>
      <c r="AI113" s="247">
        <v>70</v>
      </c>
      <c r="AJ113" s="247">
        <v>0</v>
      </c>
      <c r="AK113" s="247">
        <v>70</v>
      </c>
    </row>
    <row r="114" spans="1:37" x14ac:dyDescent="0.2">
      <c r="A114" s="8">
        <v>17420</v>
      </c>
      <c r="B114" s="8" t="s">
        <v>165</v>
      </c>
      <c r="C114" s="8" t="s">
        <v>19</v>
      </c>
      <c r="D114" s="29" t="s">
        <v>3</v>
      </c>
      <c r="E114" s="347"/>
      <c r="F114" s="1">
        <v>41674</v>
      </c>
      <c r="G114" s="1">
        <v>0</v>
      </c>
      <c r="H114" s="1">
        <v>41674</v>
      </c>
      <c r="I114" s="484"/>
      <c r="J114" s="1">
        <f>'[1]App 4-Recyclables'!H114</f>
        <v>1001.65</v>
      </c>
      <c r="K114" s="1">
        <f>'[1]App 5-Organics'!H114+'[1]App 5-Organics'!L114</f>
        <v>331.13</v>
      </c>
      <c r="L114" s="485"/>
      <c r="M114" s="1">
        <f>'[1]App 4-Recyclables'!P114</f>
        <v>0</v>
      </c>
      <c r="N114" s="1">
        <f>'[1]App 5-Organics'!P114</f>
        <v>0</v>
      </c>
      <c r="O114" s="484"/>
      <c r="P114" s="1">
        <v>101.02</v>
      </c>
      <c r="Q114" s="1">
        <v>101.02</v>
      </c>
      <c r="R114" s="1">
        <v>0</v>
      </c>
      <c r="S114" s="484"/>
      <c r="T114" s="1">
        <f>'[1]App 4-Recyclables'!T114</f>
        <v>0</v>
      </c>
      <c r="U114" s="1">
        <f>'[1]App 5-Organics'!T114</f>
        <v>0</v>
      </c>
      <c r="V114" s="484"/>
      <c r="W114" s="1">
        <v>4746.5600000000004</v>
      </c>
      <c r="X114" s="1">
        <v>4746.5600000000004</v>
      </c>
      <c r="Y114" s="1">
        <v>0</v>
      </c>
      <c r="Z114" s="484"/>
      <c r="AA114" s="486">
        <f t="shared" si="6"/>
        <v>43006.78</v>
      </c>
      <c r="AB114" s="484"/>
      <c r="AC114" s="487">
        <f t="shared" si="8"/>
        <v>46521.579999999994</v>
      </c>
      <c r="AD114" s="487">
        <f t="shared" si="8"/>
        <v>4847.5800000000008</v>
      </c>
      <c r="AE114" s="487">
        <f t="shared" si="8"/>
        <v>41674</v>
      </c>
      <c r="AF114" s="487">
        <f t="shared" si="9"/>
        <v>1001.65</v>
      </c>
      <c r="AG114" s="487">
        <f t="shared" si="9"/>
        <v>331.13</v>
      </c>
      <c r="AH114" s="4"/>
      <c r="AI114" s="247">
        <v>0</v>
      </c>
      <c r="AJ114" s="247">
        <v>0</v>
      </c>
      <c r="AK114" s="247">
        <v>0</v>
      </c>
    </row>
    <row r="115" spans="1:37" x14ac:dyDescent="0.2">
      <c r="A115" s="8">
        <v>17550</v>
      </c>
      <c r="B115" s="8" t="s">
        <v>166</v>
      </c>
      <c r="C115" s="8" t="s">
        <v>20</v>
      </c>
      <c r="D115" s="29" t="s">
        <v>4</v>
      </c>
      <c r="E115" s="347"/>
      <c r="F115" s="1">
        <v>16434</v>
      </c>
      <c r="G115" s="1">
        <v>0</v>
      </c>
      <c r="H115" s="1">
        <v>16434</v>
      </c>
      <c r="I115" s="484"/>
      <c r="J115" s="1">
        <f>'[1]App 4-Recyclables'!H115</f>
        <v>922</v>
      </c>
      <c r="K115" s="1">
        <f>'[1]App 5-Organics'!H115+'[1]App 5-Organics'!L115</f>
        <v>257</v>
      </c>
      <c r="L115" s="485"/>
      <c r="M115" s="1">
        <f>'[1]App 4-Recyclables'!P115</f>
        <v>0</v>
      </c>
      <c r="N115" s="1">
        <f>'[1]App 5-Organics'!P115</f>
        <v>0</v>
      </c>
      <c r="O115" s="484"/>
      <c r="P115" s="1">
        <v>5191.0200000000004</v>
      </c>
      <c r="Q115" s="1">
        <v>51.730000000000004</v>
      </c>
      <c r="R115" s="1">
        <v>5139.29</v>
      </c>
      <c r="S115" s="484"/>
      <c r="T115" s="1">
        <f>'[1]App 4-Recyclables'!T115</f>
        <v>0</v>
      </c>
      <c r="U115" s="1">
        <f>'[1]App 5-Organics'!T115</f>
        <v>0</v>
      </c>
      <c r="V115" s="484"/>
      <c r="W115" s="1">
        <v>1234</v>
      </c>
      <c r="X115" s="1">
        <v>0</v>
      </c>
      <c r="Y115" s="1">
        <v>1234</v>
      </c>
      <c r="Z115" s="484"/>
      <c r="AA115" s="486">
        <f t="shared" si="6"/>
        <v>23986.29</v>
      </c>
      <c r="AB115" s="484"/>
      <c r="AC115" s="487">
        <f t="shared" si="8"/>
        <v>22859.02</v>
      </c>
      <c r="AD115" s="487">
        <f t="shared" si="8"/>
        <v>51.730000000000004</v>
      </c>
      <c r="AE115" s="487">
        <f t="shared" si="8"/>
        <v>22807.29</v>
      </c>
      <c r="AF115" s="487">
        <f t="shared" si="9"/>
        <v>922</v>
      </c>
      <c r="AG115" s="487">
        <f t="shared" si="9"/>
        <v>257</v>
      </c>
      <c r="AH115" s="4"/>
      <c r="AI115" s="247"/>
      <c r="AJ115" s="247"/>
      <c r="AK115" s="247"/>
    </row>
    <row r="116" spans="1:37" x14ac:dyDescent="0.2">
      <c r="A116" s="8">
        <v>17620</v>
      </c>
      <c r="B116" s="8" t="s">
        <v>167</v>
      </c>
      <c r="C116" s="8" t="s">
        <v>25</v>
      </c>
      <c r="D116" s="29" t="s">
        <v>4</v>
      </c>
      <c r="E116" s="347"/>
      <c r="F116" s="1">
        <v>5646.11</v>
      </c>
      <c r="G116" s="1">
        <v>0</v>
      </c>
      <c r="H116" s="1">
        <v>5646.11</v>
      </c>
      <c r="I116" s="484"/>
      <c r="J116" s="1">
        <f>'[1]App 4-Recyclables'!H116</f>
        <v>32.619999999999997</v>
      </c>
      <c r="K116" s="1">
        <f>'[1]App 5-Organics'!H116+'[1]App 5-Organics'!L116</f>
        <v>0</v>
      </c>
      <c r="L116" s="485"/>
      <c r="M116" s="1">
        <f>'[1]App 4-Recyclables'!P116</f>
        <v>0</v>
      </c>
      <c r="N116" s="1">
        <f>'[1]App 5-Organics'!P116</f>
        <v>0</v>
      </c>
      <c r="O116" s="484"/>
      <c r="P116" s="1">
        <v>11041.26</v>
      </c>
      <c r="Q116" s="1">
        <v>2642.7299999999996</v>
      </c>
      <c r="R116" s="1">
        <v>8398.5300000000007</v>
      </c>
      <c r="S116" s="484"/>
      <c r="T116" s="1">
        <f>'[1]App 4-Recyclables'!T116</f>
        <v>0</v>
      </c>
      <c r="U116" s="1">
        <f>'[1]App 5-Organics'!T116</f>
        <v>0</v>
      </c>
      <c r="V116" s="484"/>
      <c r="W116" s="1">
        <v>136.76</v>
      </c>
      <c r="X116" s="1">
        <v>0</v>
      </c>
      <c r="Y116" s="1">
        <v>136.76</v>
      </c>
      <c r="Z116" s="484"/>
      <c r="AA116" s="486">
        <f t="shared" si="6"/>
        <v>14214.02</v>
      </c>
      <c r="AB116" s="484"/>
      <c r="AC116" s="487">
        <f t="shared" si="8"/>
        <v>16824.129999999997</v>
      </c>
      <c r="AD116" s="487">
        <f t="shared" si="8"/>
        <v>2642.7299999999996</v>
      </c>
      <c r="AE116" s="487">
        <f t="shared" si="8"/>
        <v>14181.4</v>
      </c>
      <c r="AF116" s="487">
        <f t="shared" si="9"/>
        <v>32.619999999999997</v>
      </c>
      <c r="AG116" s="487">
        <f t="shared" si="9"/>
        <v>0</v>
      </c>
      <c r="AH116" s="4"/>
      <c r="AI116" s="247">
        <v>1829.36</v>
      </c>
      <c r="AJ116" s="247">
        <v>0</v>
      </c>
      <c r="AK116" s="247">
        <v>1829.36</v>
      </c>
    </row>
    <row r="117" spans="1:37" x14ac:dyDescent="0.2">
      <c r="A117" s="8">
        <v>17640</v>
      </c>
      <c r="B117" s="8" t="s">
        <v>168</v>
      </c>
      <c r="C117" s="8" t="s">
        <v>74</v>
      </c>
      <c r="D117" s="29" t="s">
        <v>1</v>
      </c>
      <c r="E117" s="347"/>
      <c r="F117" s="1">
        <v>1820</v>
      </c>
      <c r="G117" s="1">
        <v>0</v>
      </c>
      <c r="H117" s="1">
        <v>1820</v>
      </c>
      <c r="I117" s="484"/>
      <c r="J117" s="1">
        <f>'[1]App 4-Recyclables'!H117</f>
        <v>17.559999999999999</v>
      </c>
      <c r="K117" s="1">
        <f>'[1]App 5-Organics'!H117+'[1]App 5-Organics'!L117</f>
        <v>0</v>
      </c>
      <c r="L117" s="485"/>
      <c r="M117" s="1">
        <f>'[1]App 4-Recyclables'!P117</f>
        <v>0</v>
      </c>
      <c r="N117" s="1">
        <f>'[1]App 5-Organics'!P117</f>
        <v>0</v>
      </c>
      <c r="O117" s="484"/>
      <c r="P117" s="1">
        <v>2854</v>
      </c>
      <c r="Q117" s="1">
        <v>174</v>
      </c>
      <c r="R117" s="1">
        <v>2680</v>
      </c>
      <c r="S117" s="484"/>
      <c r="T117" s="1">
        <f>'[1]App 4-Recyclables'!T117</f>
        <v>0</v>
      </c>
      <c r="U117" s="1">
        <f>'[1]App 5-Organics'!T117</f>
        <v>0</v>
      </c>
      <c r="V117" s="484"/>
      <c r="W117" s="1">
        <v>0</v>
      </c>
      <c r="X117" s="1">
        <v>0</v>
      </c>
      <c r="Y117" s="1">
        <v>0</v>
      </c>
      <c r="Z117" s="484"/>
      <c r="AA117" s="486">
        <f t="shared" si="6"/>
        <v>4517.5599999999995</v>
      </c>
      <c r="AB117" s="484"/>
      <c r="AC117" s="487">
        <f t="shared" si="8"/>
        <v>4674</v>
      </c>
      <c r="AD117" s="487">
        <f t="shared" si="8"/>
        <v>174</v>
      </c>
      <c r="AE117" s="487">
        <f t="shared" si="8"/>
        <v>4500</v>
      </c>
      <c r="AF117" s="487">
        <f t="shared" si="9"/>
        <v>17.559999999999999</v>
      </c>
      <c r="AG117" s="487">
        <f t="shared" si="9"/>
        <v>0</v>
      </c>
      <c r="AH117" s="4"/>
      <c r="AI117" s="247"/>
      <c r="AJ117" s="247"/>
      <c r="AK117" s="247"/>
    </row>
    <row r="118" spans="1:37" x14ac:dyDescent="0.2">
      <c r="A118" s="8">
        <v>17650</v>
      </c>
      <c r="B118" s="8" t="s">
        <v>169</v>
      </c>
      <c r="C118" s="8" t="s">
        <v>17</v>
      </c>
      <c r="D118" s="29" t="s">
        <v>1</v>
      </c>
      <c r="E118" s="347"/>
      <c r="F118" s="1">
        <v>986.86</v>
      </c>
      <c r="G118" s="1">
        <v>0</v>
      </c>
      <c r="H118" s="1">
        <v>986.86</v>
      </c>
      <c r="I118" s="484"/>
      <c r="J118" s="1">
        <f>'[1]App 4-Recyclables'!H118</f>
        <v>96</v>
      </c>
      <c r="K118" s="1">
        <f>'[1]App 5-Organics'!H118+'[1]App 5-Organics'!L118</f>
        <v>0</v>
      </c>
      <c r="L118" s="485"/>
      <c r="M118" s="1">
        <f>'[1]App 4-Recyclables'!P118</f>
        <v>3.92</v>
      </c>
      <c r="N118" s="1">
        <f>'[1]App 5-Organics'!P118</f>
        <v>0</v>
      </c>
      <c r="O118" s="484"/>
      <c r="P118" s="1">
        <v>1047.26</v>
      </c>
      <c r="Q118" s="1">
        <v>45.81</v>
      </c>
      <c r="R118" s="1">
        <v>1001.45</v>
      </c>
      <c r="S118" s="484"/>
      <c r="T118" s="1">
        <f>'[1]App 4-Recyclables'!T118</f>
        <v>0</v>
      </c>
      <c r="U118" s="1">
        <f>'[1]App 5-Organics'!T118</f>
        <v>0</v>
      </c>
      <c r="V118" s="484"/>
      <c r="W118" s="1">
        <v>0</v>
      </c>
      <c r="X118" s="1">
        <v>0</v>
      </c>
      <c r="Y118" s="1">
        <v>0</v>
      </c>
      <c r="Z118" s="484"/>
      <c r="AA118" s="486">
        <f t="shared" si="6"/>
        <v>2088.2300000000005</v>
      </c>
      <c r="AB118" s="484"/>
      <c r="AC118" s="487">
        <f t="shared" si="8"/>
        <v>2034.12</v>
      </c>
      <c r="AD118" s="487">
        <f t="shared" si="8"/>
        <v>45.81</v>
      </c>
      <c r="AE118" s="487">
        <f t="shared" si="8"/>
        <v>1988.31</v>
      </c>
      <c r="AF118" s="487">
        <f t="shared" si="9"/>
        <v>99.92</v>
      </c>
      <c r="AG118" s="487">
        <f t="shared" si="9"/>
        <v>0</v>
      </c>
      <c r="AH118" s="4"/>
      <c r="AI118" s="247"/>
      <c r="AJ118" s="247"/>
      <c r="AK118" s="247"/>
    </row>
    <row r="119" spans="1:37" x14ac:dyDescent="0.2">
      <c r="A119" s="8">
        <v>17750</v>
      </c>
      <c r="B119" s="8" t="s">
        <v>170</v>
      </c>
      <c r="C119" s="8" t="s">
        <v>22</v>
      </c>
      <c r="D119" s="29" t="s">
        <v>1</v>
      </c>
      <c r="E119" s="347"/>
      <c r="F119" s="1">
        <v>7735</v>
      </c>
      <c r="G119" s="1">
        <v>0</v>
      </c>
      <c r="H119" s="1">
        <v>7735</v>
      </c>
      <c r="I119" s="484"/>
      <c r="J119" s="1">
        <f>'[1]App 4-Recyclables'!H119</f>
        <v>671</v>
      </c>
      <c r="K119" s="1">
        <f>'[1]App 5-Organics'!H119+'[1]App 5-Organics'!L119</f>
        <v>-734</v>
      </c>
      <c r="L119" s="485"/>
      <c r="M119" s="1">
        <f>'[1]App 4-Recyclables'!P119</f>
        <v>1516</v>
      </c>
      <c r="N119" s="1">
        <f>'[1]App 5-Organics'!P119</f>
        <v>1281</v>
      </c>
      <c r="O119" s="484"/>
      <c r="P119" s="1">
        <v>8978</v>
      </c>
      <c r="Q119" s="1">
        <v>279</v>
      </c>
      <c r="R119" s="1">
        <v>8699</v>
      </c>
      <c r="S119" s="484"/>
      <c r="T119" s="1">
        <f>'[1]App 4-Recyclables'!T119</f>
        <v>0</v>
      </c>
      <c r="U119" s="1">
        <f>'[1]App 5-Organics'!T119</f>
        <v>0</v>
      </c>
      <c r="V119" s="484"/>
      <c r="W119" s="1">
        <v>107</v>
      </c>
      <c r="X119" s="1">
        <v>0</v>
      </c>
      <c r="Y119" s="1">
        <v>107</v>
      </c>
      <c r="Z119" s="484"/>
      <c r="AA119" s="486">
        <f t="shared" si="6"/>
        <v>19275</v>
      </c>
      <c r="AB119" s="484"/>
      <c r="AC119" s="487">
        <f t="shared" si="8"/>
        <v>16820</v>
      </c>
      <c r="AD119" s="487">
        <f t="shared" si="8"/>
        <v>279</v>
      </c>
      <c r="AE119" s="487">
        <f t="shared" si="8"/>
        <v>16541</v>
      </c>
      <c r="AF119" s="487">
        <f t="shared" si="9"/>
        <v>2187</v>
      </c>
      <c r="AG119" s="487">
        <f t="shared" si="9"/>
        <v>547</v>
      </c>
      <c r="AH119" s="4"/>
      <c r="AI119" s="247">
        <v>2173</v>
      </c>
      <c r="AJ119" s="247">
        <v>0</v>
      </c>
      <c r="AK119" s="247">
        <v>2173</v>
      </c>
    </row>
    <row r="120" spans="1:37" x14ac:dyDescent="0.2">
      <c r="A120" s="8">
        <v>17850</v>
      </c>
      <c r="B120" s="8" t="s">
        <v>171</v>
      </c>
      <c r="C120" s="8" t="s">
        <v>17</v>
      </c>
      <c r="D120" s="29" t="s">
        <v>1</v>
      </c>
      <c r="E120" s="347"/>
      <c r="F120" s="1">
        <v>434.71</v>
      </c>
      <c r="G120" s="1">
        <v>0</v>
      </c>
      <c r="H120" s="1">
        <v>434.71</v>
      </c>
      <c r="I120" s="484"/>
      <c r="J120" s="1">
        <f>'[1]App 4-Recyclables'!H120</f>
        <v>7.49</v>
      </c>
      <c r="K120" s="1">
        <f>'[1]App 5-Organics'!H120+'[1]App 5-Organics'!L120</f>
        <v>0</v>
      </c>
      <c r="L120" s="485"/>
      <c r="M120" s="1">
        <f>'[1]App 4-Recyclables'!P120</f>
        <v>0</v>
      </c>
      <c r="N120" s="1">
        <f>'[1]App 5-Organics'!P120</f>
        <v>0</v>
      </c>
      <c r="O120" s="484"/>
      <c r="P120" s="1">
        <v>0</v>
      </c>
      <c r="Q120" s="1">
        <v>0</v>
      </c>
      <c r="R120" s="1">
        <v>0</v>
      </c>
      <c r="S120" s="484"/>
      <c r="T120" s="1">
        <f>'[1]App 4-Recyclables'!T120</f>
        <v>0</v>
      </c>
      <c r="U120" s="1">
        <f>'[1]App 5-Organics'!T120</f>
        <v>0</v>
      </c>
      <c r="V120" s="484"/>
      <c r="W120" s="1">
        <v>0</v>
      </c>
      <c r="X120" s="1">
        <v>0</v>
      </c>
      <c r="Y120" s="1">
        <v>0</v>
      </c>
      <c r="Z120" s="484"/>
      <c r="AA120" s="486">
        <f t="shared" si="6"/>
        <v>442.2</v>
      </c>
      <c r="AB120" s="484"/>
      <c r="AC120" s="487">
        <f t="shared" si="8"/>
        <v>434.71</v>
      </c>
      <c r="AD120" s="487">
        <f t="shared" si="8"/>
        <v>0</v>
      </c>
      <c r="AE120" s="487">
        <f t="shared" si="8"/>
        <v>434.71</v>
      </c>
      <c r="AF120" s="487">
        <f t="shared" si="9"/>
        <v>7.49</v>
      </c>
      <c r="AG120" s="487">
        <f t="shared" si="9"/>
        <v>0</v>
      </c>
      <c r="AH120" s="4"/>
      <c r="AI120" s="247"/>
      <c r="AJ120" s="247"/>
      <c r="AK120" s="247"/>
    </row>
    <row r="121" spans="1:37" x14ac:dyDescent="0.2">
      <c r="A121" s="8">
        <v>17900</v>
      </c>
      <c r="B121" s="8" t="s">
        <v>172</v>
      </c>
      <c r="C121" s="8" t="s">
        <v>42</v>
      </c>
      <c r="D121" s="29" t="s">
        <v>1</v>
      </c>
      <c r="E121" s="347"/>
      <c r="F121" s="1">
        <v>1500</v>
      </c>
      <c r="G121" s="1">
        <v>0</v>
      </c>
      <c r="H121" s="1">
        <v>1500</v>
      </c>
      <c r="I121" s="484"/>
      <c r="J121" s="1">
        <f>'[1]App 4-Recyclables'!H121</f>
        <v>0</v>
      </c>
      <c r="K121" s="1">
        <f>'[1]App 5-Organics'!H121+'[1]App 5-Organics'!L121</f>
        <v>0</v>
      </c>
      <c r="L121" s="485"/>
      <c r="M121" s="1">
        <f>'[1]App 4-Recyclables'!P121</f>
        <v>0</v>
      </c>
      <c r="N121" s="1">
        <f>'[1]App 5-Organics'!P121</f>
        <v>0</v>
      </c>
      <c r="O121" s="484"/>
      <c r="P121" s="1">
        <v>0</v>
      </c>
      <c r="Q121" s="1">
        <v>0</v>
      </c>
      <c r="R121" s="1">
        <v>0</v>
      </c>
      <c r="S121" s="484"/>
      <c r="T121" s="1">
        <f>'[1]App 4-Recyclables'!T121</f>
        <v>0</v>
      </c>
      <c r="U121" s="1">
        <f>'[1]App 5-Organics'!T121</f>
        <v>0</v>
      </c>
      <c r="V121" s="484"/>
      <c r="W121" s="1">
        <v>0</v>
      </c>
      <c r="X121" s="1">
        <v>0</v>
      </c>
      <c r="Y121" s="1">
        <v>0</v>
      </c>
      <c r="Z121" s="484"/>
      <c r="AA121" s="486">
        <f t="shared" si="6"/>
        <v>1500</v>
      </c>
      <c r="AB121" s="484"/>
      <c r="AC121" s="487">
        <f t="shared" si="8"/>
        <v>1500</v>
      </c>
      <c r="AD121" s="487">
        <f t="shared" si="8"/>
        <v>0</v>
      </c>
      <c r="AE121" s="487">
        <f t="shared" si="8"/>
        <v>1500</v>
      </c>
      <c r="AF121" s="487">
        <f t="shared" si="9"/>
        <v>0</v>
      </c>
      <c r="AG121" s="487">
        <f t="shared" si="9"/>
        <v>0</v>
      </c>
      <c r="AH121" s="4"/>
      <c r="AI121" s="247"/>
      <c r="AJ121" s="247"/>
      <c r="AK121" s="247"/>
    </row>
    <row r="122" spans="1:37" x14ac:dyDescent="0.2">
      <c r="A122" s="8">
        <v>17950</v>
      </c>
      <c r="B122" s="8" t="s">
        <v>173</v>
      </c>
      <c r="C122" s="8" t="s">
        <v>42</v>
      </c>
      <c r="D122" s="29" t="s">
        <v>1</v>
      </c>
      <c r="E122" s="347"/>
      <c r="F122" s="1">
        <v>740</v>
      </c>
      <c r="G122" s="1">
        <v>0</v>
      </c>
      <c r="H122" s="1">
        <v>740</v>
      </c>
      <c r="I122" s="484"/>
      <c r="J122" s="1">
        <f>'[1]App 4-Recyclables'!H122</f>
        <v>0</v>
      </c>
      <c r="K122" s="1">
        <f>'[1]App 5-Organics'!H122+'[1]App 5-Organics'!L122</f>
        <v>0</v>
      </c>
      <c r="L122" s="485"/>
      <c r="M122" s="1">
        <f>'[1]App 4-Recyclables'!P122</f>
        <v>10</v>
      </c>
      <c r="N122" s="1">
        <f>'[1]App 5-Organics'!P122</f>
        <v>400</v>
      </c>
      <c r="O122" s="484"/>
      <c r="P122" s="1">
        <v>1392</v>
      </c>
      <c r="Q122" s="1">
        <v>0</v>
      </c>
      <c r="R122" s="1">
        <v>1392</v>
      </c>
      <c r="S122" s="484"/>
      <c r="T122" s="1">
        <f>'[1]App 4-Recyclables'!T122</f>
        <v>0</v>
      </c>
      <c r="U122" s="1">
        <f>'[1]App 5-Organics'!T122</f>
        <v>0</v>
      </c>
      <c r="V122" s="484"/>
      <c r="W122" s="1">
        <v>0</v>
      </c>
      <c r="X122" s="1">
        <v>0</v>
      </c>
      <c r="Y122" s="1">
        <v>0</v>
      </c>
      <c r="Z122" s="484"/>
      <c r="AA122" s="486">
        <f t="shared" si="6"/>
        <v>2542</v>
      </c>
      <c r="AB122" s="484"/>
      <c r="AC122" s="487">
        <f t="shared" si="8"/>
        <v>2132</v>
      </c>
      <c r="AD122" s="487">
        <f t="shared" si="8"/>
        <v>0</v>
      </c>
      <c r="AE122" s="487">
        <f t="shared" si="8"/>
        <v>2132</v>
      </c>
      <c r="AF122" s="487">
        <f t="shared" si="9"/>
        <v>10</v>
      </c>
      <c r="AG122" s="487">
        <f t="shared" si="9"/>
        <v>400</v>
      </c>
      <c r="AH122" s="4"/>
      <c r="AI122" s="247">
        <v>0</v>
      </c>
      <c r="AJ122" s="247">
        <v>0</v>
      </c>
      <c r="AK122" s="247">
        <v>0</v>
      </c>
    </row>
    <row r="123" spans="1:37" x14ac:dyDescent="0.2">
      <c r="A123" s="8">
        <v>18020</v>
      </c>
      <c r="B123" s="8" t="s">
        <v>174</v>
      </c>
      <c r="C123" s="8" t="s">
        <v>42</v>
      </c>
      <c r="D123" s="29" t="s">
        <v>1</v>
      </c>
      <c r="E123" s="347"/>
      <c r="F123" s="1">
        <v>3646</v>
      </c>
      <c r="G123" s="1">
        <v>0</v>
      </c>
      <c r="H123" s="1">
        <v>3646</v>
      </c>
      <c r="I123" s="484"/>
      <c r="J123" s="1">
        <f>'[1]App 4-Recyclables'!H123</f>
        <v>84.64</v>
      </c>
      <c r="K123" s="1">
        <f>'[1]App 5-Organics'!H123+'[1]App 5-Organics'!L123</f>
        <v>0</v>
      </c>
      <c r="L123" s="485"/>
      <c r="M123" s="1">
        <f>'[1]App 4-Recyclables'!P123</f>
        <v>0</v>
      </c>
      <c r="N123" s="1">
        <f>'[1]App 5-Organics'!P123</f>
        <v>0</v>
      </c>
      <c r="O123" s="484"/>
      <c r="P123" s="1">
        <v>321</v>
      </c>
      <c r="Q123" s="1">
        <v>0</v>
      </c>
      <c r="R123" s="1">
        <v>321</v>
      </c>
      <c r="S123" s="484"/>
      <c r="T123" s="1">
        <f>'[1]App 4-Recyclables'!T123</f>
        <v>0</v>
      </c>
      <c r="U123" s="1">
        <f>'[1]App 5-Organics'!T123</f>
        <v>0</v>
      </c>
      <c r="V123" s="484"/>
      <c r="W123" s="1">
        <v>0</v>
      </c>
      <c r="X123" s="1">
        <v>0</v>
      </c>
      <c r="Y123" s="1">
        <v>0</v>
      </c>
      <c r="Z123" s="484"/>
      <c r="AA123" s="486">
        <f t="shared" si="6"/>
        <v>4051.64</v>
      </c>
      <c r="AB123" s="484"/>
      <c r="AC123" s="487">
        <f t="shared" si="8"/>
        <v>3967</v>
      </c>
      <c r="AD123" s="487">
        <f t="shared" si="8"/>
        <v>0</v>
      </c>
      <c r="AE123" s="487">
        <f t="shared" si="8"/>
        <v>3967</v>
      </c>
      <c r="AF123" s="487">
        <f t="shared" si="9"/>
        <v>84.64</v>
      </c>
      <c r="AG123" s="487">
        <f t="shared" si="9"/>
        <v>0</v>
      </c>
      <c r="AH123" s="4"/>
      <c r="AI123" s="247"/>
      <c r="AJ123" s="247"/>
      <c r="AK123" s="247"/>
    </row>
    <row r="124" spans="1:37" x14ac:dyDescent="0.2">
      <c r="A124" s="8">
        <v>18050</v>
      </c>
      <c r="B124" s="8" t="s">
        <v>69</v>
      </c>
      <c r="C124" s="8" t="s">
        <v>18</v>
      </c>
      <c r="D124" s="29" t="s">
        <v>3</v>
      </c>
      <c r="E124" s="347"/>
      <c r="F124" s="1">
        <v>14487</v>
      </c>
      <c r="G124" s="1">
        <v>5166</v>
      </c>
      <c r="H124" s="1">
        <v>9321</v>
      </c>
      <c r="I124" s="484"/>
      <c r="J124" s="1">
        <f>'[1]App 4-Recyclables'!H124</f>
        <v>558</v>
      </c>
      <c r="K124" s="1">
        <f>'[1]App 5-Organics'!H124+'[1]App 5-Organics'!L124</f>
        <v>0</v>
      </c>
      <c r="L124" s="485"/>
      <c r="M124" s="1">
        <f>'[1]App 4-Recyclables'!P124</f>
        <v>0</v>
      </c>
      <c r="N124" s="1">
        <f>'[1]App 5-Organics'!P124</f>
        <v>0</v>
      </c>
      <c r="O124" s="484"/>
      <c r="P124" s="1">
        <v>14.76</v>
      </c>
      <c r="Q124" s="1">
        <v>14.76</v>
      </c>
      <c r="R124" s="1">
        <v>0</v>
      </c>
      <c r="S124" s="484"/>
      <c r="T124" s="1">
        <f>'[1]App 4-Recyclables'!T124</f>
        <v>0</v>
      </c>
      <c r="U124" s="1">
        <f>'[1]App 5-Organics'!T124</f>
        <v>0</v>
      </c>
      <c r="V124" s="484"/>
      <c r="W124" s="1">
        <v>2043</v>
      </c>
      <c r="X124" s="1">
        <v>1086.3600000000001</v>
      </c>
      <c r="Y124" s="1">
        <v>956.64</v>
      </c>
      <c r="Z124" s="484"/>
      <c r="AA124" s="486">
        <f t="shared" si="6"/>
        <v>10835.64</v>
      </c>
      <c r="AB124" s="484"/>
      <c r="AC124" s="487">
        <f t="shared" si="8"/>
        <v>16544.760000000002</v>
      </c>
      <c r="AD124" s="487">
        <f t="shared" si="8"/>
        <v>6267.1200000000008</v>
      </c>
      <c r="AE124" s="487">
        <f t="shared" si="8"/>
        <v>10277.64</v>
      </c>
      <c r="AF124" s="487">
        <f t="shared" si="9"/>
        <v>558</v>
      </c>
      <c r="AG124" s="487">
        <f t="shared" si="9"/>
        <v>0</v>
      </c>
      <c r="AH124" s="4"/>
      <c r="AI124" s="247">
        <v>415.64</v>
      </c>
      <c r="AJ124" s="247">
        <v>0</v>
      </c>
      <c r="AK124" s="247">
        <v>415</v>
      </c>
    </row>
    <row r="125" spans="1:37" x14ac:dyDescent="0.2">
      <c r="A125" s="8">
        <v>18100</v>
      </c>
      <c r="B125" s="8" t="s">
        <v>175</v>
      </c>
      <c r="C125" s="8" t="s">
        <v>42</v>
      </c>
      <c r="D125" s="29" t="s">
        <v>1</v>
      </c>
      <c r="E125" s="347"/>
      <c r="F125" s="1">
        <v>595</v>
      </c>
      <c r="G125" s="1">
        <v>0</v>
      </c>
      <c r="H125" s="1">
        <v>595</v>
      </c>
      <c r="I125" s="484"/>
      <c r="J125" s="1">
        <f>'[1]App 4-Recyclables'!H125</f>
        <v>3.96</v>
      </c>
      <c r="K125" s="1">
        <f>'[1]App 5-Organics'!H125+'[1]App 5-Organics'!L125</f>
        <v>0</v>
      </c>
      <c r="L125" s="485"/>
      <c r="M125" s="1">
        <f>'[1]App 4-Recyclables'!P125</f>
        <v>9.41</v>
      </c>
      <c r="N125" s="1">
        <f>'[1]App 5-Organics'!P125</f>
        <v>493.92</v>
      </c>
      <c r="O125" s="484"/>
      <c r="P125" s="1">
        <v>863</v>
      </c>
      <c r="Q125" s="1">
        <v>0</v>
      </c>
      <c r="R125" s="1">
        <v>863</v>
      </c>
      <c r="S125" s="484"/>
      <c r="T125" s="1">
        <f>'[1]App 4-Recyclables'!T125</f>
        <v>0</v>
      </c>
      <c r="U125" s="1">
        <f>'[1]App 5-Organics'!T125</f>
        <v>0</v>
      </c>
      <c r="V125" s="484"/>
      <c r="W125" s="1">
        <v>0</v>
      </c>
      <c r="X125" s="1">
        <v>0</v>
      </c>
      <c r="Y125" s="1">
        <v>0</v>
      </c>
      <c r="Z125" s="484"/>
      <c r="AA125" s="486">
        <f t="shared" si="6"/>
        <v>1965.29</v>
      </c>
      <c r="AB125" s="484"/>
      <c r="AC125" s="487">
        <f t="shared" si="8"/>
        <v>1458</v>
      </c>
      <c r="AD125" s="487">
        <f t="shared" si="8"/>
        <v>0</v>
      </c>
      <c r="AE125" s="487">
        <f t="shared" si="8"/>
        <v>1458</v>
      </c>
      <c r="AF125" s="487">
        <f t="shared" si="9"/>
        <v>13.370000000000001</v>
      </c>
      <c r="AG125" s="487">
        <f t="shared" si="9"/>
        <v>493.92</v>
      </c>
      <c r="AH125" s="4"/>
      <c r="AI125" s="247"/>
      <c r="AJ125" s="247"/>
      <c r="AK125" s="247"/>
    </row>
    <row r="126" spans="1:37" x14ac:dyDescent="0.2">
      <c r="A126" s="8">
        <v>18200</v>
      </c>
      <c r="B126" s="8" t="s">
        <v>176</v>
      </c>
      <c r="C126" s="8" t="s">
        <v>73</v>
      </c>
      <c r="D126" s="29" t="s">
        <v>1</v>
      </c>
      <c r="E126" s="347"/>
      <c r="F126" s="1">
        <v>2356.62</v>
      </c>
      <c r="G126" s="1">
        <v>0</v>
      </c>
      <c r="H126" s="1">
        <v>2356.62</v>
      </c>
      <c r="I126" s="484"/>
      <c r="J126" s="1">
        <f>'[1]App 4-Recyclables'!H126</f>
        <v>0</v>
      </c>
      <c r="K126" s="1">
        <f>'[1]App 5-Organics'!H126+'[1]App 5-Organics'!L126</f>
        <v>0</v>
      </c>
      <c r="L126" s="485"/>
      <c r="M126" s="1">
        <f>'[1]App 4-Recyclables'!P126</f>
        <v>0</v>
      </c>
      <c r="N126" s="1">
        <f>'[1]App 5-Organics'!P126</f>
        <v>0</v>
      </c>
      <c r="O126" s="484"/>
      <c r="P126" s="1">
        <v>0</v>
      </c>
      <c r="Q126" s="1">
        <v>0</v>
      </c>
      <c r="R126" s="1">
        <v>0</v>
      </c>
      <c r="S126" s="484"/>
      <c r="T126" s="1">
        <f>'[1]App 4-Recyclables'!T126</f>
        <v>0</v>
      </c>
      <c r="U126" s="1">
        <f>'[1]App 5-Organics'!T126</f>
        <v>0</v>
      </c>
      <c r="V126" s="484"/>
      <c r="W126" s="1">
        <v>15</v>
      </c>
      <c r="X126" s="1">
        <v>0</v>
      </c>
      <c r="Y126" s="1">
        <v>15</v>
      </c>
      <c r="Z126" s="484"/>
      <c r="AA126" s="486">
        <f t="shared" si="6"/>
        <v>2371.62</v>
      </c>
      <c r="AB126" s="484"/>
      <c r="AC126" s="487">
        <f t="shared" si="8"/>
        <v>2371.62</v>
      </c>
      <c r="AD126" s="487">
        <f t="shared" si="8"/>
        <v>0</v>
      </c>
      <c r="AE126" s="487">
        <f t="shared" si="8"/>
        <v>2371.62</v>
      </c>
      <c r="AF126" s="487">
        <f t="shared" si="9"/>
        <v>0</v>
      </c>
      <c r="AG126" s="487">
        <f t="shared" si="9"/>
        <v>0</v>
      </c>
      <c r="AH126" s="4"/>
      <c r="AI126" s="247">
        <v>77</v>
      </c>
      <c r="AJ126" s="247">
        <v>0</v>
      </c>
      <c r="AK126" s="247">
        <v>77</v>
      </c>
    </row>
    <row r="127" spans="1:37" x14ac:dyDescent="0.2">
      <c r="A127" s="8">
        <v>18250</v>
      </c>
      <c r="B127" s="8" t="s">
        <v>70</v>
      </c>
      <c r="C127" s="8" t="s">
        <v>26</v>
      </c>
      <c r="D127" s="29" t="s">
        <v>3</v>
      </c>
      <c r="E127" s="347"/>
      <c r="F127" s="1">
        <v>15042.12</v>
      </c>
      <c r="G127" s="1">
        <v>2291.6000000000004</v>
      </c>
      <c r="H127" s="1">
        <v>12750.52</v>
      </c>
      <c r="I127" s="484"/>
      <c r="J127" s="1">
        <f>'[1]App 4-Recyclables'!H127</f>
        <v>449.77</v>
      </c>
      <c r="K127" s="1">
        <f>'[1]App 5-Organics'!H127+'[1]App 5-Organics'!L127</f>
        <v>0</v>
      </c>
      <c r="L127" s="485"/>
      <c r="M127" s="1">
        <f>'[1]App 4-Recyclables'!P127</f>
        <v>0</v>
      </c>
      <c r="N127" s="1">
        <f>'[1]App 5-Organics'!P127</f>
        <v>0</v>
      </c>
      <c r="O127" s="484"/>
      <c r="P127" s="1">
        <v>0</v>
      </c>
      <c r="Q127" s="1">
        <v>0</v>
      </c>
      <c r="R127" s="1">
        <v>0</v>
      </c>
      <c r="S127" s="484"/>
      <c r="T127" s="1">
        <f>'[1]App 4-Recyclables'!T127</f>
        <v>0</v>
      </c>
      <c r="U127" s="1">
        <f>'[1]App 5-Organics'!T127</f>
        <v>0</v>
      </c>
      <c r="V127" s="484"/>
      <c r="W127" s="1">
        <v>2569.2600000000002</v>
      </c>
      <c r="X127" s="1">
        <v>194.22000000000025</v>
      </c>
      <c r="Y127" s="1">
        <v>2375.04</v>
      </c>
      <c r="Z127" s="484"/>
      <c r="AA127" s="486">
        <f t="shared" si="6"/>
        <v>15575.330000000002</v>
      </c>
      <c r="AB127" s="484"/>
      <c r="AC127" s="487">
        <f t="shared" si="8"/>
        <v>17611.38</v>
      </c>
      <c r="AD127" s="487">
        <f t="shared" si="8"/>
        <v>2485.8200000000006</v>
      </c>
      <c r="AE127" s="487">
        <f t="shared" si="8"/>
        <v>15125.560000000001</v>
      </c>
      <c r="AF127" s="487">
        <f t="shared" si="9"/>
        <v>449.77</v>
      </c>
      <c r="AG127" s="487">
        <f t="shared" si="9"/>
        <v>0</v>
      </c>
      <c r="AH127" s="4"/>
      <c r="AI127" s="247">
        <v>989.02</v>
      </c>
      <c r="AJ127" s="247">
        <v>0</v>
      </c>
      <c r="AK127" s="247">
        <v>989.02</v>
      </c>
    </row>
    <row r="128" spans="1:37" x14ac:dyDescent="0.2">
      <c r="A128" s="8">
        <v>18350</v>
      </c>
      <c r="B128" s="8" t="s">
        <v>71</v>
      </c>
      <c r="C128" s="8" t="s">
        <v>74</v>
      </c>
      <c r="D128" s="29" t="s">
        <v>2</v>
      </c>
      <c r="E128" s="347"/>
      <c r="F128" s="1">
        <v>8343.68</v>
      </c>
      <c r="G128" s="1">
        <v>8.3400000000001455</v>
      </c>
      <c r="H128" s="1">
        <v>8335.34</v>
      </c>
      <c r="I128" s="484"/>
      <c r="J128" s="1">
        <f>'[1]App 4-Recyclables'!H128</f>
        <v>1126.83</v>
      </c>
      <c r="K128" s="1">
        <f>'[1]App 5-Organics'!H128+'[1]App 5-Organics'!L128</f>
        <v>177.84</v>
      </c>
      <c r="L128" s="485"/>
      <c r="M128" s="1">
        <f>'[1]App 4-Recyclables'!P128</f>
        <v>24.509999999999998</v>
      </c>
      <c r="N128" s="1">
        <f>'[1]App 5-Organics'!P128</f>
        <v>109.73</v>
      </c>
      <c r="O128" s="484"/>
      <c r="P128" s="1">
        <v>5954.21</v>
      </c>
      <c r="Q128" s="1">
        <v>4326.25</v>
      </c>
      <c r="R128" s="1">
        <v>1627.96</v>
      </c>
      <c r="S128" s="484"/>
      <c r="T128" s="1">
        <f>'[1]App 4-Recyclables'!T128</f>
        <v>2.35</v>
      </c>
      <c r="U128" s="1">
        <f>'[1]App 5-Organics'!T128</f>
        <v>0</v>
      </c>
      <c r="V128" s="484"/>
      <c r="W128" s="1">
        <v>107.46</v>
      </c>
      <c r="X128" s="1">
        <v>102.08999999999999</v>
      </c>
      <c r="Y128" s="1">
        <v>5.37</v>
      </c>
      <c r="Z128" s="484"/>
      <c r="AA128" s="486">
        <f t="shared" si="6"/>
        <v>11409.93</v>
      </c>
      <c r="AB128" s="484"/>
      <c r="AC128" s="487">
        <f t="shared" si="8"/>
        <v>14405.349999999999</v>
      </c>
      <c r="AD128" s="487">
        <f t="shared" si="8"/>
        <v>4436.68</v>
      </c>
      <c r="AE128" s="487">
        <f t="shared" si="8"/>
        <v>9968.67</v>
      </c>
      <c r="AF128" s="487">
        <f t="shared" si="9"/>
        <v>1153.6899999999998</v>
      </c>
      <c r="AG128" s="487">
        <f t="shared" si="9"/>
        <v>287.57</v>
      </c>
      <c r="AH128" s="4"/>
      <c r="AI128" s="247">
        <v>496.38</v>
      </c>
      <c r="AJ128" s="247">
        <v>471</v>
      </c>
      <c r="AK128" s="247">
        <v>25.04</v>
      </c>
    </row>
    <row r="129" spans="1:41" x14ac:dyDescent="0.2">
      <c r="A129" s="8">
        <v>18400</v>
      </c>
      <c r="B129" s="8" t="s">
        <v>177</v>
      </c>
      <c r="C129" s="8" t="s">
        <v>193</v>
      </c>
      <c r="D129" s="29" t="s">
        <v>4</v>
      </c>
      <c r="E129" s="347"/>
      <c r="F129" s="1">
        <v>11326.4</v>
      </c>
      <c r="G129" s="1">
        <v>0</v>
      </c>
      <c r="H129" s="1">
        <v>11326.4</v>
      </c>
      <c r="I129" s="484"/>
      <c r="J129" s="1">
        <f>'[1]App 4-Recyclables'!H129</f>
        <v>256.22000000000003</v>
      </c>
      <c r="K129" s="1">
        <f>'[1]App 5-Organics'!H129+'[1]App 5-Organics'!L129</f>
        <v>0</v>
      </c>
      <c r="L129" s="485"/>
      <c r="M129" s="1">
        <f>'[1]App 4-Recyclables'!P129</f>
        <v>0</v>
      </c>
      <c r="N129" s="1">
        <f>'[1]App 5-Organics'!P129</f>
        <v>0</v>
      </c>
      <c r="O129" s="484"/>
      <c r="P129" s="1">
        <v>0</v>
      </c>
      <c r="Q129" s="1">
        <v>0</v>
      </c>
      <c r="R129" s="1">
        <v>0</v>
      </c>
      <c r="S129" s="484"/>
      <c r="T129" s="1">
        <f>'[1]App 4-Recyclables'!T129</f>
        <v>0</v>
      </c>
      <c r="U129" s="1">
        <f>'[1]App 5-Organics'!T129</f>
        <v>0</v>
      </c>
      <c r="V129" s="484"/>
      <c r="W129" s="1">
        <v>2456.44</v>
      </c>
      <c r="X129" s="1">
        <v>2456.44</v>
      </c>
      <c r="Y129" s="1">
        <v>0</v>
      </c>
      <c r="Z129" s="484"/>
      <c r="AA129" s="486">
        <f t="shared" si="6"/>
        <v>11582.619999999999</v>
      </c>
      <c r="AB129" s="484"/>
      <c r="AC129" s="487">
        <f t="shared" si="8"/>
        <v>13782.84</v>
      </c>
      <c r="AD129" s="487">
        <f t="shared" si="8"/>
        <v>2456.44</v>
      </c>
      <c r="AE129" s="487">
        <f t="shared" si="8"/>
        <v>11326.4</v>
      </c>
      <c r="AF129" s="487">
        <f t="shared" si="9"/>
        <v>256.22000000000003</v>
      </c>
      <c r="AG129" s="487">
        <f t="shared" si="9"/>
        <v>0</v>
      </c>
      <c r="AH129" s="4"/>
      <c r="AI129" s="247">
        <v>0</v>
      </c>
      <c r="AJ129" s="247">
        <v>0</v>
      </c>
      <c r="AK129" s="247">
        <v>0</v>
      </c>
    </row>
    <row r="130" spans="1:41" x14ac:dyDescent="0.2">
      <c r="A130" s="8">
        <v>18450</v>
      </c>
      <c r="B130" s="8" t="s">
        <v>178</v>
      </c>
      <c r="C130" s="8" t="s">
        <v>41</v>
      </c>
      <c r="D130" s="29" t="s">
        <v>2</v>
      </c>
      <c r="E130" s="347"/>
      <c r="F130" s="1">
        <v>39916</v>
      </c>
      <c r="G130" s="1">
        <v>0</v>
      </c>
      <c r="H130" s="1">
        <v>39916</v>
      </c>
      <c r="I130" s="484"/>
      <c r="J130" s="1">
        <f>'[1]App 4-Recyclables'!H130</f>
        <v>1465</v>
      </c>
      <c r="K130" s="1">
        <f>'[1]App 5-Organics'!H130+'[1]App 5-Organics'!L130</f>
        <v>0</v>
      </c>
      <c r="L130" s="485"/>
      <c r="M130" s="1">
        <f>'[1]App 4-Recyclables'!P130</f>
        <v>0</v>
      </c>
      <c r="N130" s="1">
        <f>'[1]App 5-Organics'!P130</f>
        <v>0</v>
      </c>
      <c r="O130" s="484"/>
      <c r="P130" s="1">
        <v>8</v>
      </c>
      <c r="Q130" s="1">
        <v>8</v>
      </c>
      <c r="R130" s="1">
        <v>0</v>
      </c>
      <c r="S130" s="484"/>
      <c r="T130" s="1">
        <f>'[1]App 4-Recyclables'!T130</f>
        <v>0</v>
      </c>
      <c r="U130" s="1">
        <f>'[1]App 5-Organics'!T130</f>
        <v>0</v>
      </c>
      <c r="V130" s="484"/>
      <c r="W130" s="1">
        <v>4078</v>
      </c>
      <c r="X130" s="1">
        <v>53</v>
      </c>
      <c r="Y130" s="1">
        <v>4025</v>
      </c>
      <c r="Z130" s="484"/>
      <c r="AA130" s="486">
        <f t="shared" si="6"/>
        <v>45406</v>
      </c>
      <c r="AB130" s="484"/>
      <c r="AC130" s="487">
        <f t="shared" si="8"/>
        <v>44002</v>
      </c>
      <c r="AD130" s="487">
        <f t="shared" si="8"/>
        <v>61</v>
      </c>
      <c r="AE130" s="487">
        <f t="shared" si="8"/>
        <v>43941</v>
      </c>
      <c r="AF130" s="487">
        <f t="shared" si="9"/>
        <v>1465</v>
      </c>
      <c r="AG130" s="487">
        <f t="shared" si="9"/>
        <v>0</v>
      </c>
      <c r="AH130" s="4"/>
      <c r="AI130" s="247">
        <v>4307.33</v>
      </c>
      <c r="AJ130" s="247">
        <v>0</v>
      </c>
      <c r="AK130" s="247">
        <v>4307.33</v>
      </c>
    </row>
    <row r="131" spans="1:41" x14ac:dyDescent="0.2">
      <c r="A131" s="8">
        <v>18500</v>
      </c>
      <c r="B131" s="8" t="s">
        <v>72</v>
      </c>
      <c r="C131" s="8" t="s">
        <v>18</v>
      </c>
      <c r="D131" s="29" t="s">
        <v>3</v>
      </c>
      <c r="E131" s="347"/>
      <c r="F131" s="1">
        <v>11087.37</v>
      </c>
      <c r="G131" s="1">
        <v>1719.3700000000008</v>
      </c>
      <c r="H131" s="1">
        <v>9368</v>
      </c>
      <c r="I131" s="484"/>
      <c r="J131" s="1">
        <f>'[1]App 4-Recyclables'!H131</f>
        <v>408.21</v>
      </c>
      <c r="K131" s="1">
        <f>'[1]App 5-Organics'!H131+'[1]App 5-Organics'!L131</f>
        <v>0</v>
      </c>
      <c r="L131" s="485"/>
      <c r="M131" s="1">
        <f>'[1]App 4-Recyclables'!P131</f>
        <v>0</v>
      </c>
      <c r="N131" s="1">
        <f>'[1]App 5-Organics'!P131</f>
        <v>0</v>
      </c>
      <c r="O131" s="484"/>
      <c r="P131" s="1">
        <v>0</v>
      </c>
      <c r="Q131" s="1">
        <v>0</v>
      </c>
      <c r="R131" s="1">
        <v>0</v>
      </c>
      <c r="S131" s="484"/>
      <c r="T131" s="1">
        <f>'[1]App 4-Recyclables'!T131</f>
        <v>0</v>
      </c>
      <c r="U131" s="1">
        <f>'[1]App 5-Organics'!T131</f>
        <v>0</v>
      </c>
      <c r="V131" s="484"/>
      <c r="W131" s="1">
        <v>1756.72</v>
      </c>
      <c r="X131" s="1">
        <v>210.72000000000003</v>
      </c>
      <c r="Y131" s="1">
        <v>1546</v>
      </c>
      <c r="Z131" s="484"/>
      <c r="AA131" s="486">
        <f t="shared" si="6"/>
        <v>11322.21</v>
      </c>
      <c r="AB131" s="484"/>
      <c r="AC131" s="487">
        <f t="shared" si="8"/>
        <v>12844.09</v>
      </c>
      <c r="AD131" s="487">
        <f t="shared" si="8"/>
        <v>1930.0900000000008</v>
      </c>
      <c r="AE131" s="487">
        <f t="shared" si="8"/>
        <v>10914</v>
      </c>
      <c r="AF131" s="487">
        <f t="shared" si="9"/>
        <v>408.21</v>
      </c>
      <c r="AG131" s="487">
        <f t="shared" si="9"/>
        <v>0</v>
      </c>
      <c r="AH131" s="4"/>
      <c r="AI131" s="247">
        <v>646.30999999999995</v>
      </c>
      <c r="AJ131" s="247">
        <v>0</v>
      </c>
      <c r="AK131" s="247">
        <v>646</v>
      </c>
    </row>
    <row r="132" spans="1:41" x14ac:dyDescent="0.2">
      <c r="A132" s="8">
        <v>18710</v>
      </c>
      <c r="B132" s="8" t="s">
        <v>179</v>
      </c>
      <c r="C132" s="8" t="s">
        <v>74</v>
      </c>
      <c r="D132" s="29" t="s">
        <v>1</v>
      </c>
      <c r="E132" s="347"/>
      <c r="F132" s="1">
        <v>2181</v>
      </c>
      <c r="G132" s="1">
        <v>0</v>
      </c>
      <c r="H132" s="1">
        <v>2181</v>
      </c>
      <c r="I132" s="484"/>
      <c r="J132" s="1">
        <f>'[1]App 4-Recyclables'!H132</f>
        <v>32.159999999999997</v>
      </c>
      <c r="K132" s="1">
        <f>'[1]App 5-Organics'!H132+'[1]App 5-Organics'!L132</f>
        <v>0</v>
      </c>
      <c r="L132" s="485"/>
      <c r="M132" s="1">
        <f>'[1]App 4-Recyclables'!P132</f>
        <v>0</v>
      </c>
      <c r="N132" s="1">
        <f>'[1]App 5-Organics'!P132</f>
        <v>0</v>
      </c>
      <c r="O132" s="484"/>
      <c r="P132" s="1">
        <v>5434</v>
      </c>
      <c r="Q132" s="1">
        <v>1800</v>
      </c>
      <c r="R132" s="1">
        <v>3634</v>
      </c>
      <c r="S132" s="484"/>
      <c r="T132" s="1">
        <f>'[1]App 4-Recyclables'!T132</f>
        <v>0</v>
      </c>
      <c r="U132" s="1">
        <f>'[1]App 5-Organics'!T132</f>
        <v>0</v>
      </c>
      <c r="V132" s="484"/>
      <c r="W132" s="1">
        <v>0</v>
      </c>
      <c r="X132" s="1">
        <v>0</v>
      </c>
      <c r="Y132" s="1">
        <v>0</v>
      </c>
      <c r="Z132" s="484"/>
      <c r="AA132" s="486">
        <f t="shared" si="6"/>
        <v>5847.16</v>
      </c>
      <c r="AB132" s="484"/>
      <c r="AC132" s="487">
        <f>F132+P132+W132</f>
        <v>7615</v>
      </c>
      <c r="AD132" s="487">
        <f>G132+Q132+X132</f>
        <v>1800</v>
      </c>
      <c r="AE132" s="487">
        <f t="shared" ref="AE132" si="10">H132+R132+Y132</f>
        <v>5815</v>
      </c>
      <c r="AF132" s="487">
        <f t="shared" si="9"/>
        <v>32.159999999999997</v>
      </c>
      <c r="AG132" s="487">
        <f t="shared" si="9"/>
        <v>0</v>
      </c>
      <c r="AH132" s="4"/>
      <c r="AI132" s="247">
        <v>0</v>
      </c>
      <c r="AJ132" s="247">
        <v>0</v>
      </c>
      <c r="AK132" s="247">
        <v>0</v>
      </c>
    </row>
    <row r="133" spans="1:41" s="2" customFormat="1" ht="11.25" x14ac:dyDescent="0.2">
      <c r="F133" s="125"/>
      <c r="G133" s="125"/>
      <c r="H133" s="125"/>
      <c r="M133" s="125"/>
      <c r="N133" s="125"/>
      <c r="P133" s="125"/>
      <c r="Q133" s="125"/>
      <c r="R133" s="125"/>
      <c r="T133" s="125"/>
      <c r="U133" s="125"/>
      <c r="W133" s="125"/>
      <c r="X133" s="125"/>
      <c r="Y133" s="125"/>
      <c r="AH133" s="4"/>
      <c r="AI133" s="157"/>
      <c r="AJ133" s="157"/>
      <c r="AK133" s="157"/>
    </row>
    <row r="134" spans="1:41" s="2" customFormat="1" ht="11.25" x14ac:dyDescent="0.2">
      <c r="A134" s="676" t="s">
        <v>181</v>
      </c>
      <c r="B134" s="676"/>
      <c r="C134" s="676"/>
      <c r="D134" s="474"/>
      <c r="F134" s="156"/>
      <c r="G134" s="156">
        <f>G135/F135</f>
        <v>9.6615097312851131E-2</v>
      </c>
      <c r="H134" s="490"/>
      <c r="J134" s="4"/>
      <c r="K134" s="4"/>
      <c r="M134" s="125"/>
      <c r="N134" s="125"/>
      <c r="P134" s="125"/>
      <c r="Q134" s="125"/>
      <c r="R134" s="490"/>
      <c r="T134" s="125"/>
      <c r="U134" s="125"/>
      <c r="W134" s="125"/>
      <c r="X134" s="125"/>
      <c r="Y134" s="490"/>
      <c r="AH134" s="4"/>
      <c r="AI134" s="157"/>
      <c r="AJ134" s="157"/>
      <c r="AK134" s="157"/>
      <c r="AO134" s="125" t="s">
        <v>746</v>
      </c>
    </row>
    <row r="135" spans="1:41" s="2" customFormat="1" ht="15" customHeight="1" x14ac:dyDescent="0.2">
      <c r="A135" s="677" t="s">
        <v>8</v>
      </c>
      <c r="B135" s="678"/>
      <c r="C135" s="679"/>
      <c r="D135" s="474"/>
      <c r="F135" s="491">
        <f>SUM(F5:F132)</f>
        <v>1779223.3800000006</v>
      </c>
      <c r="G135" s="491">
        <f>SUM(G5:G132)</f>
        <v>171899.83999999997</v>
      </c>
      <c r="H135" s="491">
        <f>SUM(H5:H132)</f>
        <v>1607323.5400000007</v>
      </c>
      <c r="J135" s="491">
        <f>SUM(J5:J132)</f>
        <v>64546.01</v>
      </c>
      <c r="K135" s="491">
        <f>SUM(K5:K132)</f>
        <v>8211.5099999999984</v>
      </c>
      <c r="L135" s="72"/>
      <c r="M135" s="491">
        <f>SUM(M5:M132)</f>
        <v>3775.1899999999996</v>
      </c>
      <c r="N135" s="491">
        <f>SUM(N5:N132)</f>
        <v>8161.7699999999995</v>
      </c>
      <c r="O135" s="72"/>
      <c r="P135" s="491">
        <f>SUM(P5:P132)</f>
        <v>340420.18000000005</v>
      </c>
      <c r="Q135" s="491">
        <f>SUM(Q5:Q132)</f>
        <v>42265.96</v>
      </c>
      <c r="R135" s="491">
        <f>SUM(R5:R132)</f>
        <v>298154.21999999997</v>
      </c>
      <c r="S135" s="72"/>
      <c r="T135" s="491">
        <f>SUM(T5:T132)</f>
        <v>415.11</v>
      </c>
      <c r="U135" s="491">
        <f>SUM(U5:U132)</f>
        <v>21</v>
      </c>
      <c r="V135" s="72"/>
      <c r="W135" s="491">
        <f>SUM(W5:W132)</f>
        <v>233542.13</v>
      </c>
      <c r="X135" s="491">
        <f>SUM(X5:X132)</f>
        <v>45888.92</v>
      </c>
      <c r="Y135" s="491">
        <f>SUM(Y5:Y132)</f>
        <v>187653.21000000005</v>
      </c>
      <c r="Z135" s="72"/>
      <c r="AA135" s="491">
        <f>SUM(AA5:AA132)</f>
        <v>2178261.56</v>
      </c>
      <c r="AB135" s="491"/>
      <c r="AC135" s="491">
        <f>SUM(AC5:AC132)</f>
        <v>2353185.69</v>
      </c>
      <c r="AD135" s="491">
        <f>SUM(AD5:AD132)</f>
        <v>260054.72000000003</v>
      </c>
      <c r="AE135" s="491">
        <f>SUM(AE5:AE132)</f>
        <v>2093130.9700000004</v>
      </c>
      <c r="AF135" s="491">
        <f>SUM(AF5:AF132)</f>
        <v>68736.31</v>
      </c>
      <c r="AG135" s="491">
        <f>SUM(AG5:AG132)</f>
        <v>16394.28</v>
      </c>
      <c r="AH135" s="4"/>
      <c r="AI135" s="159">
        <f>SUM(AI5:AI132)</f>
        <v>110765.88000000002</v>
      </c>
      <c r="AJ135" s="159">
        <f>SUM(AJ5:AJ132)</f>
        <v>7923</v>
      </c>
      <c r="AK135" s="159">
        <f>SUM(AK5:AK132)</f>
        <v>102839.27000000003</v>
      </c>
      <c r="AM135" s="4">
        <f>AC135+AI135</f>
        <v>2463951.5699999998</v>
      </c>
      <c r="AO135" s="4">
        <f>Y135+U135+T135</f>
        <v>188089.32000000004</v>
      </c>
    </row>
    <row r="136" spans="1:41" s="2" customFormat="1" ht="11.25" x14ac:dyDescent="0.2">
      <c r="B136" s="31"/>
      <c r="C136" s="168"/>
      <c r="D136" s="474"/>
      <c r="F136" s="156"/>
      <c r="G136" s="250"/>
      <c r="H136" s="250"/>
      <c r="J136" s="156"/>
      <c r="K136" s="156"/>
      <c r="M136" s="156"/>
      <c r="N136" s="156"/>
      <c r="P136" s="156"/>
      <c r="Q136" s="156"/>
      <c r="R136" s="156"/>
      <c r="T136" s="156"/>
      <c r="U136" s="156"/>
      <c r="W136" s="156"/>
      <c r="X136" s="156"/>
      <c r="Y136" s="156"/>
      <c r="AA136" s="156"/>
      <c r="AH136" s="4"/>
      <c r="AI136" s="157"/>
      <c r="AJ136" s="157"/>
      <c r="AK136" s="157"/>
    </row>
    <row r="137" spans="1:41" s="2" customFormat="1" ht="15" customHeight="1" x14ac:dyDescent="0.2">
      <c r="A137" s="675" t="s">
        <v>9</v>
      </c>
      <c r="B137" s="675"/>
      <c r="C137" s="675"/>
      <c r="D137" s="492"/>
      <c r="E137" s="470"/>
      <c r="F137" s="166">
        <f>SUMIF($D$5:$D$132,"S",F$5:F$132)</f>
        <v>1057327.4300000002</v>
      </c>
      <c r="G137" s="166">
        <f>SUMIF($D$5:$D$132,"S",G$5:G$132)</f>
        <v>161628.66</v>
      </c>
      <c r="H137" s="166">
        <f>SUMIF($D$5:$D$132,"S",H$5:H$132)</f>
        <v>895698.77</v>
      </c>
      <c r="J137" s="166">
        <f>SUMIF($D$5:$D$132,"S",J$5:J$132)</f>
        <v>34835.619999999988</v>
      </c>
      <c r="K137" s="166">
        <f>SUMIF($D$5:$D$132,"S",K$5:K$132)</f>
        <v>3465.99</v>
      </c>
      <c r="M137" s="166">
        <f>SUMIF($D$5:$D$132,"S",M$5:M$132)</f>
        <v>150.91</v>
      </c>
      <c r="N137" s="166">
        <f>SUMIF($D$5:$D$132,"S",N$5:N$132)</f>
        <v>0</v>
      </c>
      <c r="P137" s="166">
        <f>SUMIF($D$5:$D$132,"S",P$5:P$132)</f>
        <v>11495.36</v>
      </c>
      <c r="Q137" s="166">
        <f>SUMIF($D$5:$D$132,"S",Q$5:Q$132)</f>
        <v>11173.83</v>
      </c>
      <c r="R137" s="166">
        <f>SUMIF($D$5:$D$132,"S",R$5:R$132)</f>
        <v>321.52999999999997</v>
      </c>
      <c r="T137" s="166">
        <f>SUMIF($D$5:$D$132,"S",T$5:T$132)</f>
        <v>364.26</v>
      </c>
      <c r="U137" s="166">
        <f>SUMIF($D$5:$D$132,"S",U$5:U$132)</f>
        <v>1</v>
      </c>
      <c r="W137" s="166">
        <f>SUMIF($D$5:$D$132,"S",W$5:W$132)</f>
        <v>161802.85999999999</v>
      </c>
      <c r="X137" s="166">
        <f>SUMIF($D$5:$D$132,"S",X$5:X$132)</f>
        <v>39138.18</v>
      </c>
      <c r="Y137" s="166">
        <f>SUMIF($D$5:$D$132,"S",Y$5:Y$132)</f>
        <v>122664.67999999998</v>
      </c>
      <c r="AA137" s="166">
        <f>SUMIF($D$5:$D$132,"S",AA$5:AA$132)</f>
        <v>1057502.76</v>
      </c>
      <c r="AC137" s="166">
        <f>SUMIF($D$5:$D$132,"S",AC$5:AC$132)</f>
        <v>1230625.6500000001</v>
      </c>
      <c r="AD137" s="166">
        <f>SUMIF($D$5:$D$132,"S",AD$5:AD$132)</f>
        <v>211940.67</v>
      </c>
      <c r="AE137" s="166">
        <f>SUMIF($D$5:$D$132,"S",AE$5:AE$132)</f>
        <v>1018684.9800000001</v>
      </c>
      <c r="AF137" s="166">
        <f>SUMIF($D$5:$D$132,"S",AF$5:AF$132)</f>
        <v>35350.789999999994</v>
      </c>
      <c r="AG137" s="166">
        <f>SUMIF($D$5:$D$132,"S",AG$5:AG$132)</f>
        <v>3466.99</v>
      </c>
      <c r="AH137" s="4"/>
      <c r="AI137" s="166">
        <f>SUMIF($D$5:$D$132,"S",AI$5:AI$132)</f>
        <v>17295.849999999999</v>
      </c>
      <c r="AJ137" s="166">
        <f>SUMIF($D$5:$D$132,"S",AJ$5:AJ$132)</f>
        <v>2117</v>
      </c>
      <c r="AK137" s="166">
        <f>SUMIF($D$5:$D$132,"S",AK$5:AK$132)</f>
        <v>15177.54</v>
      </c>
      <c r="AO137" s="4">
        <f t="shared" ref="AO137:AO140" si="11">Y137+U137+T137</f>
        <v>123029.93999999997</v>
      </c>
    </row>
    <row r="138" spans="1:41" s="2" customFormat="1" ht="15" customHeight="1" x14ac:dyDescent="0.2">
      <c r="A138" s="675" t="s">
        <v>10</v>
      </c>
      <c r="B138" s="675"/>
      <c r="C138" s="675"/>
      <c r="D138" s="492"/>
      <c r="E138" s="470"/>
      <c r="F138" s="166">
        <f>SUMIF($D$5:$D$132,"E",F$5:F$132)</f>
        <v>341847.7</v>
      </c>
      <c r="G138" s="166">
        <f>SUMIF($D$5:$D$132,"E",G$5:G$132)</f>
        <v>9663.7999999999993</v>
      </c>
      <c r="H138" s="166">
        <f>SUMIF($D$5:$D$132,"E",H$5:H$132)</f>
        <v>332183.90000000002</v>
      </c>
      <c r="J138" s="166">
        <f>SUMIF($D$5:$D$132,"E",J$5:J$132)</f>
        <v>13812.960000000001</v>
      </c>
      <c r="K138" s="166">
        <f>SUMIF($D$5:$D$132,"E",K$5:K$132)</f>
        <v>1496.51</v>
      </c>
      <c r="M138" s="166">
        <f>SUMIF($D$5:$D$132,"E",M$5:M$132)</f>
        <v>28.889999999999997</v>
      </c>
      <c r="N138" s="166">
        <f>SUMIF($D$5:$D$132,"E",N$5:N$132)</f>
        <v>109.73</v>
      </c>
      <c r="P138" s="166">
        <f>SUMIF($D$5:$D$132,"E",P$5:P$132)</f>
        <v>75738.940000000017</v>
      </c>
      <c r="Q138" s="166">
        <f>SUMIF($D$5:$D$132,"E",Q$5:Q$132)</f>
        <v>12707.78</v>
      </c>
      <c r="R138" s="166">
        <f>SUMIF($D$5:$D$132,"E",R$5:R$132)</f>
        <v>63031.16</v>
      </c>
      <c r="T138" s="166">
        <f>SUMIF($D$5:$D$132,"E",T$5:T$132)</f>
        <v>2.35</v>
      </c>
      <c r="U138" s="166">
        <f>SUMIF($D$5:$D$132,"E",U$5:U$132)</f>
        <v>0</v>
      </c>
      <c r="W138" s="166">
        <f>SUMIF($D$5:$D$132,"E",W$5:W$132)</f>
        <v>55008.710000000006</v>
      </c>
      <c r="X138" s="166">
        <f>SUMIF($D$5:$D$132,"E",X$5:X$132)</f>
        <v>3162.1200000000003</v>
      </c>
      <c r="Y138" s="166">
        <f>SUMIF($D$5:$D$132,"E",Y$5:Y$132)</f>
        <v>51846.590000000004</v>
      </c>
      <c r="AA138" s="166">
        <f>SUMIF($D$5:$D$132,"E",AA$5:AA$132)</f>
        <v>462512.09</v>
      </c>
      <c r="AC138" s="166">
        <f>SUMIF($D$5:$D$132,"E",AC$5:AC$132)</f>
        <v>472595.35</v>
      </c>
      <c r="AD138" s="166">
        <f>SUMIF($D$5:$D$132,"E",AD$5:AD$132)</f>
        <v>25533.7</v>
      </c>
      <c r="AE138" s="166">
        <f>SUMIF($D$5:$D$132,"E",AE$5:AE$132)</f>
        <v>447061.65</v>
      </c>
      <c r="AF138" s="166">
        <f>SUMIF($D$5:$D$132,"E",AF$5:AF$132)</f>
        <v>13844.2</v>
      </c>
      <c r="AG138" s="166">
        <f>SUMIF($D$5:$D$132,"E",AG$5:AG$132)</f>
        <v>1606.24</v>
      </c>
      <c r="AH138" s="4"/>
      <c r="AI138" s="166">
        <f>SUMIF($D$5:$D$132,"E",AI$5:AI$132)</f>
        <v>30923.1</v>
      </c>
      <c r="AJ138" s="166">
        <f>SUMIF($D$5:$D$132,"E",AJ$5:AJ$132)</f>
        <v>550</v>
      </c>
      <c r="AK138" s="166">
        <f>SUMIF($D$5:$D$132,"E",AK$5:AK$132)</f>
        <v>30372.660000000003</v>
      </c>
      <c r="AO138" s="4">
        <f t="shared" si="11"/>
        <v>51848.94</v>
      </c>
    </row>
    <row r="139" spans="1:41" s="2" customFormat="1" ht="15" customHeight="1" x14ac:dyDescent="0.2">
      <c r="A139" s="675" t="s">
        <v>11</v>
      </c>
      <c r="B139" s="675"/>
      <c r="C139" s="675"/>
      <c r="D139" s="492"/>
      <c r="E139" s="470"/>
      <c r="F139" s="166">
        <f>SUMIF($D$5:$D$132,"R",F$5:F$132)</f>
        <v>156097.65</v>
      </c>
      <c r="G139" s="166">
        <f>SUMIF($D$5:$D$132,"R",G$5:G$132)</f>
        <v>607.38000000000011</v>
      </c>
      <c r="H139" s="166">
        <f>SUMIF($D$5:$D$132,"R",H$5:H$132)</f>
        <v>155490.26999999999</v>
      </c>
      <c r="J139" s="166">
        <f>SUMIF($D$5:$D$132,"R",J$5:J$132)</f>
        <v>7917.98</v>
      </c>
      <c r="K139" s="166">
        <f>SUMIF($D$5:$D$132,"R",K$5:K$132)</f>
        <v>1208.29</v>
      </c>
      <c r="M139" s="166">
        <f>SUMIF($D$5:$D$132,"R",M$5:M$132)</f>
        <v>72.16</v>
      </c>
      <c r="N139" s="166">
        <f>SUMIF($D$5:$D$132,"R",N$5:N$132)</f>
        <v>5</v>
      </c>
      <c r="P139" s="166">
        <f>SUMIF($D$5:$D$132,"R",P$5:P$132)</f>
        <v>91373.150000000009</v>
      </c>
      <c r="Q139" s="166">
        <f>SUMIF($D$5:$D$132,"R",Q$5:Q$132)</f>
        <v>11507.72</v>
      </c>
      <c r="R139" s="166">
        <f>SUMIF($D$5:$D$132,"R",R$5:R$132)</f>
        <v>79865.429999999993</v>
      </c>
      <c r="T139" s="166">
        <f>SUMIF($D$5:$D$132,"R",T$5:T$132)</f>
        <v>0</v>
      </c>
      <c r="U139" s="166">
        <f>SUMIF($D$5:$D$132,"R",U$5:U$132)</f>
        <v>0</v>
      </c>
      <c r="W139" s="166">
        <f>SUMIF($D$5:$D$132,"R",W$5:W$132)</f>
        <v>12212.52</v>
      </c>
      <c r="X139" s="166">
        <f>SUMIF($D$5:$D$132,"R",X$5:X$132)</f>
        <v>3280.62</v>
      </c>
      <c r="Y139" s="166">
        <f>SUMIF($D$5:$D$132,"R",Y$5:Y$132)</f>
        <v>8931.9</v>
      </c>
      <c r="AA139" s="166">
        <f>SUMIF($D$5:$D$132,"R",AA$5:AA$132)</f>
        <v>253491.03</v>
      </c>
      <c r="AC139" s="166">
        <f>SUMIF($D$5:$D$132,"R",AC$5:AC$132)</f>
        <v>259683.32</v>
      </c>
      <c r="AD139" s="166">
        <f>SUMIF($D$5:$D$132,"R",AD$5:AD$132)</f>
        <v>15395.72</v>
      </c>
      <c r="AE139" s="166">
        <f>SUMIF($D$5:$D$132,"R",AE$5:AE$132)</f>
        <v>244287.6</v>
      </c>
      <c r="AF139" s="166">
        <f>SUMIF($D$5:$D$132,"R",AF$5:AF$132)</f>
        <v>7990.1400000000012</v>
      </c>
      <c r="AG139" s="166">
        <f>SUMIF($D$5:$D$132,"R",AG$5:AG$132)</f>
        <v>1213.29</v>
      </c>
      <c r="AH139" s="4"/>
      <c r="AI139" s="166">
        <f>SUMIF($D$5:$D$132,"R",AI$5:AI$132)</f>
        <v>10851.37</v>
      </c>
      <c r="AJ139" s="166">
        <f>SUMIF($D$5:$D$132,"R",AJ$5:AJ$132)</f>
        <v>2185</v>
      </c>
      <c r="AK139" s="166">
        <f>SUMIF($D$5:$D$132,"R",AK$5:AK$132)</f>
        <v>8666.3700000000008</v>
      </c>
      <c r="AO139" s="4">
        <f t="shared" si="11"/>
        <v>8931.9</v>
      </c>
    </row>
    <row r="140" spans="1:41" s="2" customFormat="1" ht="15" customHeight="1" x14ac:dyDescent="0.2">
      <c r="A140" s="675" t="s">
        <v>12</v>
      </c>
      <c r="B140" s="675"/>
      <c r="C140" s="675"/>
      <c r="D140" s="492"/>
      <c r="E140" s="470"/>
      <c r="F140" s="166">
        <f>SUMIF($D$5:$D$132,"N",F$5:F$132)</f>
        <v>223950.6</v>
      </c>
      <c r="G140" s="166">
        <f>SUMIF($D$5:$D$132,"N",G$5:G$132)</f>
        <v>0</v>
      </c>
      <c r="H140" s="166">
        <f>SUMIF($D$5:$D$132,"N",H$5:H$132)</f>
        <v>223950.6</v>
      </c>
      <c r="J140" s="166">
        <f>SUMIF($D$5:$D$132,"N",J$5:J$132)</f>
        <v>7979.4500000000016</v>
      </c>
      <c r="K140" s="166">
        <f>SUMIF($D$5:$D$132,"N",K$5:K$132)</f>
        <v>2040.7199999999998</v>
      </c>
      <c r="M140" s="166">
        <f>SUMIF($D$5:$D$132,"N",M$5:M$132)</f>
        <v>3523.2299999999996</v>
      </c>
      <c r="N140" s="166">
        <f>SUMIF($D$5:$D$132,"N",N$5:N$132)</f>
        <v>8047.04</v>
      </c>
      <c r="P140" s="166">
        <f>SUMIF($D$5:$D$132,"N",P$5:P$132)</f>
        <v>161812.72999999998</v>
      </c>
      <c r="Q140" s="166">
        <f>SUMIF($D$5:$D$132,"N",Q$5:Q$132)</f>
        <v>6876.630000000001</v>
      </c>
      <c r="R140" s="166">
        <f>SUMIF($D$5:$D$132,"N",R$5:R$132)</f>
        <v>154936.1</v>
      </c>
      <c r="T140" s="166">
        <f>SUMIF($D$5:$D$132,"N",T$5:T$132)</f>
        <v>48.5</v>
      </c>
      <c r="U140" s="166">
        <f>SUMIF($D$5:$D$132,"N",U$5:U$132)</f>
        <v>20</v>
      </c>
      <c r="W140" s="166">
        <f>SUMIF($D$5:$D$132,"N",W$5:W$132)</f>
        <v>4518.04</v>
      </c>
      <c r="X140" s="166">
        <f>SUMIF($D$5:$D$132,"N",X$5:X$132)</f>
        <v>308</v>
      </c>
      <c r="Y140" s="166">
        <f>SUMIF($D$5:$D$132,"N",Y$5:Y$132)</f>
        <v>4210.04</v>
      </c>
      <c r="AA140" s="166">
        <f>SUMIF($D$5:$D$132,"N",AA$5:AA$132)</f>
        <v>404755.67999999993</v>
      </c>
      <c r="AC140" s="166">
        <f>SUMIF($D$5:$D$132,"N",AC$5:AC$132)</f>
        <v>390281.37000000005</v>
      </c>
      <c r="AD140" s="166">
        <f>SUMIF($D$5:$D$132,"N",AD$5:AD$132)</f>
        <v>7184.6300000000019</v>
      </c>
      <c r="AE140" s="166">
        <f>SUMIF($D$5:$D$132,"N",AE$5:AE$132)</f>
        <v>383096.74000000005</v>
      </c>
      <c r="AF140" s="166">
        <f>SUMIF($D$5:$D$132,"N",AF$5:AF$132)</f>
        <v>11551.18</v>
      </c>
      <c r="AG140" s="166">
        <f>SUMIF($D$5:$D$132,"N",AG$5:AG$132)</f>
        <v>10107.759999999998</v>
      </c>
      <c r="AH140" s="4"/>
      <c r="AI140" s="166">
        <f>SUMIF($D$5:$D$132,"N",AI$5:AI$132)</f>
        <v>51695.560000000005</v>
      </c>
      <c r="AJ140" s="166">
        <f>SUMIF($D$5:$D$132,"N",AJ$5:AJ$132)</f>
        <v>3071</v>
      </c>
      <c r="AK140" s="166">
        <f>SUMIF($D$5:$D$132,"N",AK$5:AK$132)</f>
        <v>48622.7</v>
      </c>
      <c r="AO140" s="4">
        <f t="shared" si="11"/>
        <v>4278.54</v>
      </c>
    </row>
    <row r="141" spans="1:41" s="2" customFormat="1" ht="15" customHeight="1" x14ac:dyDescent="0.2">
      <c r="A141" s="493"/>
      <c r="B141" s="493"/>
      <c r="C141" s="493"/>
      <c r="D141" s="492"/>
      <c r="E141" s="470"/>
      <c r="F141" s="170"/>
      <c r="G141" s="170"/>
      <c r="H141" s="170"/>
      <c r="J141" s="170"/>
      <c r="K141" s="170"/>
      <c r="M141" s="170"/>
      <c r="N141" s="170"/>
      <c r="P141" s="170"/>
      <c r="Q141" s="170"/>
      <c r="R141" s="170"/>
      <c r="T141" s="170"/>
      <c r="U141" s="170"/>
      <c r="W141" s="170"/>
      <c r="X141" s="170"/>
      <c r="Y141" s="170"/>
      <c r="AA141" s="170"/>
      <c r="AC141" s="170"/>
      <c r="AD141" s="170"/>
      <c r="AE141" s="170"/>
      <c r="AF141" s="170"/>
      <c r="AG141" s="170"/>
      <c r="AH141" s="4"/>
      <c r="AI141" s="170"/>
      <c r="AJ141" s="170"/>
      <c r="AK141" s="170"/>
      <c r="AO141" s="4"/>
    </row>
    <row r="142" spans="1:41" s="2" customFormat="1" ht="11.25" x14ac:dyDescent="0.2">
      <c r="A142" s="676" t="s">
        <v>569</v>
      </c>
      <c r="B142" s="676"/>
      <c r="C142" s="676"/>
      <c r="D142" s="474"/>
      <c r="F142" s="156"/>
      <c r="G142" s="156">
        <f>G143/F143</f>
        <v>7.1490534643155496E-2</v>
      </c>
      <c r="H142" s="490"/>
      <c r="J142" s="4"/>
      <c r="K142" s="4"/>
      <c r="M142" s="125"/>
      <c r="N142" s="125"/>
      <c r="P142" s="125"/>
      <c r="Q142" s="125"/>
      <c r="R142" s="490"/>
      <c r="T142" s="125"/>
      <c r="U142" s="125"/>
      <c r="W142" s="125"/>
      <c r="X142" s="125"/>
      <c r="Y142" s="490"/>
      <c r="AH142" s="4"/>
      <c r="AI142" s="157"/>
      <c r="AJ142" s="157"/>
      <c r="AK142" s="157"/>
      <c r="AO142" s="125" t="s">
        <v>746</v>
      </c>
    </row>
    <row r="143" spans="1:41" s="2" customFormat="1" ht="15" customHeight="1" x14ac:dyDescent="0.2">
      <c r="A143" s="677" t="s">
        <v>8</v>
      </c>
      <c r="B143" s="678"/>
      <c r="C143" s="679"/>
      <c r="D143" s="474"/>
      <c r="F143" s="491">
        <v>1718473.5099999995</v>
      </c>
      <c r="G143" s="491">
        <v>122854.59</v>
      </c>
      <c r="H143" s="491">
        <v>1595618.9199999997</v>
      </c>
      <c r="J143" s="491">
        <v>53361.630000000005</v>
      </c>
      <c r="K143" s="491">
        <v>4076.0099999999998</v>
      </c>
      <c r="L143" s="72"/>
      <c r="M143" s="491">
        <v>149.64000000000001</v>
      </c>
      <c r="N143" s="491">
        <v>5356.81</v>
      </c>
      <c r="O143" s="72"/>
      <c r="P143" s="491">
        <v>332618.48</v>
      </c>
      <c r="Q143" s="491">
        <v>35888.560000000005</v>
      </c>
      <c r="R143" s="491">
        <v>295292.38000000006</v>
      </c>
      <c r="S143" s="72"/>
      <c r="T143" s="491">
        <v>3612.42</v>
      </c>
      <c r="U143" s="491">
        <v>9.35</v>
      </c>
      <c r="V143" s="72"/>
      <c r="W143" s="491">
        <v>211557.95</v>
      </c>
      <c r="X143" s="491">
        <v>23781.340000000004</v>
      </c>
      <c r="Y143" s="491">
        <v>187776.61</v>
      </c>
      <c r="Z143" s="72"/>
      <c r="AA143" s="491">
        <v>2148434.7699999996</v>
      </c>
      <c r="AB143" s="491"/>
      <c r="AC143" s="491">
        <v>2262649.9400000004</v>
      </c>
      <c r="AD143" s="491">
        <v>182524.49000000008</v>
      </c>
      <c r="AE143" s="491">
        <v>2081868.9099999997</v>
      </c>
      <c r="AF143" s="491">
        <v>57123.69000000001</v>
      </c>
      <c r="AG143" s="491">
        <v>9442.17</v>
      </c>
      <c r="AH143" s="4"/>
      <c r="AI143" s="159">
        <v>84553.440000000017</v>
      </c>
      <c r="AJ143" s="159">
        <v>7044</v>
      </c>
      <c r="AK143" s="159">
        <v>77508.540000000023</v>
      </c>
      <c r="AM143" s="4">
        <f>AC143+AI143</f>
        <v>2347203.3800000004</v>
      </c>
      <c r="AO143" s="4">
        <f>Y143+U143+T143</f>
        <v>191398.38</v>
      </c>
    </row>
    <row r="144" spans="1:41" s="2" customFormat="1" ht="11.25" x14ac:dyDescent="0.2">
      <c r="B144" s="31"/>
      <c r="C144" s="168"/>
      <c r="D144" s="474"/>
      <c r="F144" s="156"/>
      <c r="G144" s="250"/>
      <c r="H144" s="250"/>
      <c r="J144" s="156"/>
      <c r="K144" s="156"/>
      <c r="M144" s="156"/>
      <c r="N144" s="156"/>
      <c r="P144" s="156"/>
      <c r="Q144" s="156"/>
      <c r="R144" s="156"/>
      <c r="T144" s="156"/>
      <c r="U144" s="156"/>
      <c r="W144" s="156"/>
      <c r="X144" s="156"/>
      <c r="Y144" s="156"/>
      <c r="AA144" s="156"/>
      <c r="AH144" s="4"/>
      <c r="AI144" s="157"/>
      <c r="AJ144" s="157"/>
      <c r="AK144" s="157"/>
    </row>
    <row r="145" spans="1:41" s="2" customFormat="1" ht="15" customHeight="1" x14ac:dyDescent="0.2">
      <c r="A145" s="675" t="s">
        <v>9</v>
      </c>
      <c r="B145" s="675"/>
      <c r="C145" s="675"/>
      <c r="D145" s="492"/>
      <c r="E145" s="470"/>
      <c r="F145" s="166">
        <v>1055090.4200000002</v>
      </c>
      <c r="G145" s="166">
        <v>111403.36</v>
      </c>
      <c r="H145" s="166">
        <v>943687.06</v>
      </c>
      <c r="J145" s="166">
        <v>29628.390000000003</v>
      </c>
      <c r="K145" s="166">
        <v>2903.2</v>
      </c>
      <c r="M145" s="166">
        <v>9.5300000000000011</v>
      </c>
      <c r="N145" s="166">
        <v>0</v>
      </c>
      <c r="P145" s="166">
        <v>40373.80999999999</v>
      </c>
      <c r="Q145" s="166">
        <v>1931.5</v>
      </c>
      <c r="R145" s="166">
        <v>38442.30999999999</v>
      </c>
      <c r="T145" s="166">
        <v>3558.42</v>
      </c>
      <c r="U145" s="166">
        <v>3.35</v>
      </c>
      <c r="W145" s="166">
        <v>150186.42000000001</v>
      </c>
      <c r="X145" s="166">
        <v>20562.66</v>
      </c>
      <c r="Y145" s="166">
        <v>129623.76000000001</v>
      </c>
      <c r="AA145" s="166">
        <v>1151037.0199999998</v>
      </c>
      <c r="AC145" s="166">
        <v>1245650.6499999999</v>
      </c>
      <c r="AD145" s="166">
        <v>133897.52000000002</v>
      </c>
      <c r="AE145" s="166">
        <v>1114934.1299999999</v>
      </c>
      <c r="AF145" s="166">
        <v>33196.339999999997</v>
      </c>
      <c r="AG145" s="166">
        <v>2906.5499999999997</v>
      </c>
      <c r="AH145" s="4"/>
      <c r="AI145" s="166">
        <v>14827.08</v>
      </c>
      <c r="AJ145" s="166">
        <v>3281</v>
      </c>
      <c r="AK145" s="166">
        <v>11546.08</v>
      </c>
      <c r="AO145" s="4">
        <f t="shared" ref="AO145:AO148" si="12">Y145+U145+T145</f>
        <v>133185.53000000003</v>
      </c>
    </row>
    <row r="146" spans="1:41" s="2" customFormat="1" ht="15" customHeight="1" x14ac:dyDescent="0.2">
      <c r="A146" s="675" t="s">
        <v>10</v>
      </c>
      <c r="B146" s="675"/>
      <c r="C146" s="675"/>
      <c r="D146" s="492"/>
      <c r="E146" s="470"/>
      <c r="F146" s="166">
        <v>319978.5</v>
      </c>
      <c r="G146" s="166">
        <v>7974</v>
      </c>
      <c r="H146" s="166">
        <v>312004.5</v>
      </c>
      <c r="J146" s="166">
        <v>10261.18</v>
      </c>
      <c r="K146" s="166">
        <v>491.94000000000005</v>
      </c>
      <c r="M146" s="166">
        <v>17</v>
      </c>
      <c r="N146" s="166">
        <v>106</v>
      </c>
      <c r="P146" s="166">
        <v>73258.790000000008</v>
      </c>
      <c r="Q146" s="166">
        <v>5817.22</v>
      </c>
      <c r="R146" s="166">
        <v>66003.569999999992</v>
      </c>
      <c r="T146" s="166">
        <v>2</v>
      </c>
      <c r="U146" s="166">
        <v>0</v>
      </c>
      <c r="W146" s="166">
        <v>50845.560000000005</v>
      </c>
      <c r="X146" s="166">
        <v>2500.54</v>
      </c>
      <c r="Y146" s="166">
        <v>48345.020000000004</v>
      </c>
      <c r="AA146" s="166">
        <v>437231.20999999996</v>
      </c>
      <c r="AC146" s="166">
        <v>444082.85000000003</v>
      </c>
      <c r="AD146" s="166">
        <v>16291.759999999998</v>
      </c>
      <c r="AE146" s="166">
        <v>426353.09</v>
      </c>
      <c r="AF146" s="166">
        <v>10280.18</v>
      </c>
      <c r="AG146" s="166">
        <v>597.94000000000005</v>
      </c>
      <c r="AH146" s="4"/>
      <c r="AI146" s="166">
        <v>35565.649999999994</v>
      </c>
      <c r="AJ146" s="166">
        <v>545</v>
      </c>
      <c r="AK146" s="166">
        <v>35021.21</v>
      </c>
      <c r="AO146" s="4">
        <f t="shared" si="12"/>
        <v>48347.020000000004</v>
      </c>
    </row>
    <row r="147" spans="1:41" s="2" customFormat="1" ht="15" customHeight="1" x14ac:dyDescent="0.2">
      <c r="A147" s="675" t="s">
        <v>11</v>
      </c>
      <c r="B147" s="675"/>
      <c r="C147" s="675"/>
      <c r="D147" s="492"/>
      <c r="E147" s="470"/>
      <c r="F147" s="166">
        <v>144350.98000000001</v>
      </c>
      <c r="G147" s="166">
        <v>3477.2300000000005</v>
      </c>
      <c r="H147" s="166">
        <v>140873.75</v>
      </c>
      <c r="J147" s="166">
        <v>7155.82</v>
      </c>
      <c r="K147" s="166">
        <v>252.41000000000003</v>
      </c>
      <c r="M147" s="166">
        <v>18.869999999999997</v>
      </c>
      <c r="N147" s="166">
        <v>4.26</v>
      </c>
      <c r="P147" s="166">
        <v>85773.81</v>
      </c>
      <c r="Q147" s="166">
        <v>12879.289999999999</v>
      </c>
      <c r="R147" s="166">
        <v>72894.52</v>
      </c>
      <c r="T147" s="166">
        <v>51</v>
      </c>
      <c r="U147" s="166">
        <v>0</v>
      </c>
      <c r="W147" s="166">
        <v>7564.39</v>
      </c>
      <c r="X147" s="166">
        <v>545.14</v>
      </c>
      <c r="Y147" s="166">
        <v>7019.25</v>
      </c>
      <c r="AA147" s="166">
        <v>228269.87999999995</v>
      </c>
      <c r="AC147" s="166">
        <v>237689.18</v>
      </c>
      <c r="AD147" s="166">
        <v>16901.66</v>
      </c>
      <c r="AE147" s="166">
        <v>220787.51999999996</v>
      </c>
      <c r="AF147" s="166">
        <v>7225.69</v>
      </c>
      <c r="AG147" s="166">
        <v>256.67</v>
      </c>
      <c r="AH147" s="4"/>
      <c r="AI147" s="166">
        <v>5837.53</v>
      </c>
      <c r="AJ147" s="166">
        <v>0</v>
      </c>
      <c r="AK147" s="166">
        <v>5837.3</v>
      </c>
      <c r="AO147" s="4">
        <f t="shared" si="12"/>
        <v>7070.25</v>
      </c>
    </row>
    <row r="148" spans="1:41" s="2" customFormat="1" ht="15" customHeight="1" x14ac:dyDescent="0.2">
      <c r="A148" s="675" t="s">
        <v>12</v>
      </c>
      <c r="B148" s="675"/>
      <c r="C148" s="675"/>
      <c r="D148" s="492"/>
      <c r="E148" s="470"/>
      <c r="F148" s="166">
        <v>199053.61000000002</v>
      </c>
      <c r="G148" s="166">
        <v>0</v>
      </c>
      <c r="H148" s="166">
        <v>199053.61000000002</v>
      </c>
      <c r="J148" s="166">
        <v>6316.2400000000025</v>
      </c>
      <c r="K148" s="166">
        <v>428.46</v>
      </c>
      <c r="M148" s="166">
        <v>104.24000000000002</v>
      </c>
      <c r="N148" s="166">
        <v>5246.55</v>
      </c>
      <c r="P148" s="166">
        <v>133212.07</v>
      </c>
      <c r="Q148" s="166">
        <v>15260.55</v>
      </c>
      <c r="R148" s="166">
        <v>117951.98</v>
      </c>
      <c r="T148" s="166">
        <v>1</v>
      </c>
      <c r="U148" s="166">
        <v>6</v>
      </c>
      <c r="W148" s="166">
        <v>2961.58</v>
      </c>
      <c r="X148" s="166">
        <v>173</v>
      </c>
      <c r="Y148" s="166">
        <v>2788.58</v>
      </c>
      <c r="AA148" s="166">
        <v>331896.66000000009</v>
      </c>
      <c r="AC148" s="166">
        <v>335227.25999999983</v>
      </c>
      <c r="AD148" s="166">
        <v>15433.55</v>
      </c>
      <c r="AE148" s="166">
        <v>319794.16999999993</v>
      </c>
      <c r="AF148" s="166">
        <v>6421.4800000000014</v>
      </c>
      <c r="AG148" s="166">
        <v>5681.01</v>
      </c>
      <c r="AH148" s="4"/>
      <c r="AI148" s="166">
        <v>28323.18</v>
      </c>
      <c r="AJ148" s="166">
        <v>3218</v>
      </c>
      <c r="AK148" s="166">
        <v>25103.95</v>
      </c>
      <c r="AO148" s="4">
        <f t="shared" si="12"/>
        <v>2795.58</v>
      </c>
    </row>
    <row r="149" spans="1:41" s="2" customFormat="1" ht="15" customHeight="1" x14ac:dyDescent="0.2">
      <c r="A149" s="493"/>
      <c r="B149" s="493"/>
      <c r="C149" s="493"/>
      <c r="D149" s="492"/>
      <c r="E149" s="470"/>
      <c r="F149" s="170"/>
      <c r="G149" s="494"/>
      <c r="H149" s="170"/>
      <c r="J149" s="170"/>
      <c r="K149" s="170"/>
      <c r="M149" s="170"/>
      <c r="N149" s="170"/>
      <c r="P149" s="170"/>
      <c r="Q149" s="170"/>
      <c r="R149" s="170"/>
      <c r="T149" s="170"/>
      <c r="U149" s="170"/>
      <c r="W149" s="170"/>
      <c r="X149" s="170"/>
      <c r="Y149" s="170"/>
      <c r="AA149" s="170"/>
      <c r="AC149" s="170"/>
      <c r="AD149" s="170"/>
      <c r="AE149" s="170"/>
      <c r="AF149" s="170"/>
      <c r="AG149" s="170"/>
      <c r="AH149" s="4"/>
      <c r="AI149" s="4"/>
      <c r="AJ149" s="4"/>
      <c r="AK149" s="4"/>
      <c r="AL149" s="4"/>
    </row>
    <row r="150" spans="1:41" s="2" customFormat="1" ht="11.25" x14ac:dyDescent="0.2">
      <c r="A150" s="676" t="s">
        <v>570</v>
      </c>
      <c r="B150" s="676"/>
      <c r="C150" s="676"/>
      <c r="D150" s="474"/>
      <c r="F150" s="156"/>
      <c r="G150" s="156">
        <f>G151/F151</f>
        <v>0.10283587238589882</v>
      </c>
      <c r="H150" s="490"/>
      <c r="J150" s="4"/>
      <c r="K150" s="4"/>
      <c r="M150" s="125"/>
      <c r="N150" s="125"/>
      <c r="O150" s="125"/>
      <c r="P150" s="125"/>
      <c r="Q150" s="125"/>
      <c r="R150" s="125"/>
      <c r="S150" s="125"/>
      <c r="T150" s="125"/>
      <c r="U150" s="125"/>
      <c r="W150" s="125"/>
      <c r="X150" s="125"/>
      <c r="Y150" s="490"/>
      <c r="AH150" s="4"/>
      <c r="AI150" s="495" t="s">
        <v>747</v>
      </c>
      <c r="AJ150" s="495" t="s">
        <v>747</v>
      </c>
      <c r="AK150" s="495" t="s">
        <v>747</v>
      </c>
      <c r="AL150" s="4"/>
    </row>
    <row r="151" spans="1:41" s="2" customFormat="1" ht="15" customHeight="1" x14ac:dyDescent="0.2">
      <c r="A151" s="677" t="s">
        <v>8</v>
      </c>
      <c r="B151" s="678"/>
      <c r="C151" s="679"/>
      <c r="D151" s="474"/>
      <c r="F151" s="491">
        <v>1632503.2900000005</v>
      </c>
      <c r="G151" s="491">
        <v>167879.90000000002</v>
      </c>
      <c r="H151" s="491">
        <v>1464623.3900000001</v>
      </c>
      <c r="J151" s="491">
        <v>61784.869999999988</v>
      </c>
      <c r="K151" s="491">
        <v>11637.71</v>
      </c>
      <c r="L151" s="72"/>
      <c r="M151" s="491">
        <v>1327.47</v>
      </c>
      <c r="N151" s="491">
        <v>2476.27</v>
      </c>
      <c r="O151" s="72"/>
      <c r="P151" s="491">
        <v>316404.25</v>
      </c>
      <c r="Q151" s="491">
        <v>34137.810000000005</v>
      </c>
      <c r="R151" s="491">
        <v>281266.44</v>
      </c>
      <c r="S151" s="72"/>
      <c r="T151" s="491">
        <v>1995.46</v>
      </c>
      <c r="U151" s="491">
        <v>5196.9400000000005</v>
      </c>
      <c r="V151" s="72"/>
      <c r="W151" s="491">
        <v>203371.59</v>
      </c>
      <c r="X151" s="491">
        <v>25789.999999999993</v>
      </c>
      <c r="Y151" s="491">
        <v>177581.59000000003</v>
      </c>
      <c r="Z151" s="72"/>
      <c r="AA151" s="491">
        <v>1937052.0899999999</v>
      </c>
      <c r="AB151" s="491"/>
      <c r="AC151" s="491">
        <v>2080441.0799999998</v>
      </c>
      <c r="AD151" s="491">
        <v>227807.71</v>
      </c>
      <c r="AE151" s="491">
        <v>1852633.3700000003</v>
      </c>
      <c r="AF151" s="491">
        <v>65107.8</v>
      </c>
      <c r="AG151" s="491">
        <v>19310.920000000002</v>
      </c>
      <c r="AH151" s="4"/>
      <c r="AI151" s="491">
        <v>244566.19999999995</v>
      </c>
      <c r="AJ151" s="491">
        <v>34137.80999999999</v>
      </c>
      <c r="AK151" s="491">
        <f>AI151-AJ151</f>
        <v>210428.38999999996</v>
      </c>
      <c r="AL151" s="4"/>
      <c r="AO151" s="4">
        <f>Y151+U151+T151</f>
        <v>184773.99000000002</v>
      </c>
    </row>
    <row r="152" spans="1:41" s="2" customFormat="1" ht="11.25" x14ac:dyDescent="0.2">
      <c r="B152" s="31"/>
      <c r="C152" s="168"/>
      <c r="D152" s="474"/>
      <c r="F152" s="156"/>
      <c r="G152" s="250"/>
      <c r="H152" s="250"/>
      <c r="J152" s="156"/>
      <c r="K152" s="156"/>
      <c r="M152" s="156"/>
      <c r="N152" s="156"/>
      <c r="Q152" s="156"/>
      <c r="R152" s="156"/>
      <c r="T152" s="156"/>
      <c r="U152" s="156"/>
      <c r="W152" s="156"/>
      <c r="X152" s="156"/>
      <c r="Y152" s="156"/>
      <c r="AA152" s="156"/>
      <c r="AH152" s="4"/>
      <c r="AJ152" s="156"/>
      <c r="AK152" s="156"/>
      <c r="AL152" s="4"/>
    </row>
    <row r="153" spans="1:41" s="2" customFormat="1" ht="15" customHeight="1" x14ac:dyDescent="0.2">
      <c r="A153" s="675" t="s">
        <v>9</v>
      </c>
      <c r="B153" s="675"/>
      <c r="C153" s="675"/>
      <c r="D153" s="492"/>
      <c r="E153" s="470"/>
      <c r="F153" s="166">
        <v>983634.19999999984</v>
      </c>
      <c r="G153" s="166">
        <v>157563.49000000002</v>
      </c>
      <c r="H153" s="166">
        <v>826070.71000000008</v>
      </c>
      <c r="J153" s="166">
        <v>26207.46</v>
      </c>
      <c r="K153" s="166">
        <v>2863.53</v>
      </c>
      <c r="M153" s="166">
        <v>23.400000000000002</v>
      </c>
      <c r="N153" s="166">
        <v>1421.77</v>
      </c>
      <c r="P153" s="166">
        <v>33326.67</v>
      </c>
      <c r="Q153" s="166">
        <v>690</v>
      </c>
      <c r="R153" s="166">
        <v>32636.67</v>
      </c>
      <c r="T153" s="166">
        <v>81.400000000000006</v>
      </c>
      <c r="U153" s="166">
        <v>397.6</v>
      </c>
      <c r="W153" s="166">
        <v>141847.22999999998</v>
      </c>
      <c r="X153" s="166">
        <v>21480.560000000005</v>
      </c>
      <c r="Y153" s="166">
        <v>120366.67</v>
      </c>
      <c r="AA153" s="166">
        <v>977959.21000000008</v>
      </c>
      <c r="AC153" s="166">
        <v>1126698.0999999999</v>
      </c>
      <c r="AD153" s="166">
        <v>179734.05000000002</v>
      </c>
      <c r="AE153" s="166">
        <v>946964.04999999993</v>
      </c>
      <c r="AF153" s="166">
        <v>26312.26</v>
      </c>
      <c r="AG153" s="166">
        <v>4682.8999999999996</v>
      </c>
      <c r="AH153" s="4"/>
      <c r="AI153" s="166">
        <v>1216.67</v>
      </c>
      <c r="AJ153" s="166">
        <v>690</v>
      </c>
      <c r="AK153" s="166">
        <f t="shared" ref="AK153:AK156" si="13">AI153-AJ153</f>
        <v>526.67000000000007</v>
      </c>
      <c r="AL153" s="4"/>
      <c r="AO153" s="4">
        <f t="shared" ref="AO153:AO156" si="14">Y153+U153+T153</f>
        <v>120845.67</v>
      </c>
    </row>
    <row r="154" spans="1:41" s="2" customFormat="1" ht="15" customHeight="1" x14ac:dyDescent="0.2">
      <c r="A154" s="675" t="s">
        <v>10</v>
      </c>
      <c r="B154" s="675"/>
      <c r="C154" s="675"/>
      <c r="D154" s="492"/>
      <c r="E154" s="470"/>
      <c r="F154" s="166">
        <v>314948.04000000004</v>
      </c>
      <c r="G154" s="166">
        <v>9029.92</v>
      </c>
      <c r="H154" s="166">
        <v>305918.12</v>
      </c>
      <c r="J154" s="166">
        <v>7207.3099999999986</v>
      </c>
      <c r="K154" s="166">
        <v>2366.9299999999998</v>
      </c>
      <c r="M154" s="166">
        <v>38.79</v>
      </c>
      <c r="N154" s="166">
        <v>0</v>
      </c>
      <c r="P154" s="166">
        <v>87957.72</v>
      </c>
      <c r="Q154" s="166">
        <v>14673.67</v>
      </c>
      <c r="R154" s="166">
        <v>73284.05</v>
      </c>
      <c r="T154" s="166">
        <v>202.14</v>
      </c>
      <c r="U154" s="166">
        <v>0</v>
      </c>
      <c r="W154" s="166">
        <v>48374.400000000001</v>
      </c>
      <c r="X154" s="166">
        <v>3137.81</v>
      </c>
      <c r="Y154" s="166">
        <v>45236.590000000004</v>
      </c>
      <c r="AA154" s="166">
        <v>426746.56999999995</v>
      </c>
      <c r="AC154" s="166">
        <v>443772.80000000005</v>
      </c>
      <c r="AD154" s="166">
        <v>26841.4</v>
      </c>
      <c r="AE154" s="166">
        <v>416931.39999999997</v>
      </c>
      <c r="AF154" s="166">
        <v>7448.2399999999989</v>
      </c>
      <c r="AG154" s="166">
        <v>2366.9299999999998</v>
      </c>
      <c r="AH154" s="4"/>
      <c r="AI154" s="166">
        <v>80450.36</v>
      </c>
      <c r="AJ154" s="166">
        <v>14673.67</v>
      </c>
      <c r="AK154" s="166">
        <f t="shared" si="13"/>
        <v>65776.69</v>
      </c>
      <c r="AL154" s="4"/>
      <c r="AO154" s="4">
        <f t="shared" si="14"/>
        <v>45438.73</v>
      </c>
    </row>
    <row r="155" spans="1:41" s="2" customFormat="1" ht="15" customHeight="1" x14ac:dyDescent="0.2">
      <c r="A155" s="675" t="s">
        <v>11</v>
      </c>
      <c r="B155" s="675"/>
      <c r="C155" s="675"/>
      <c r="D155" s="492"/>
      <c r="E155" s="470"/>
      <c r="F155" s="166">
        <v>136624.82</v>
      </c>
      <c r="G155" s="166">
        <v>1286.4899999999996</v>
      </c>
      <c r="H155" s="166">
        <v>135338.33000000002</v>
      </c>
      <c r="J155" s="166">
        <v>8419.7899999999991</v>
      </c>
      <c r="K155" s="166">
        <v>3208.86</v>
      </c>
      <c r="M155" s="166">
        <v>4.8</v>
      </c>
      <c r="N155" s="166">
        <v>11.5</v>
      </c>
      <c r="P155" s="166">
        <v>67499.66</v>
      </c>
      <c r="Q155" s="166">
        <v>13105.91</v>
      </c>
      <c r="R155" s="166">
        <v>54393.75</v>
      </c>
      <c r="T155" s="166">
        <v>1286</v>
      </c>
      <c r="U155" s="166">
        <v>816.24</v>
      </c>
      <c r="W155" s="166">
        <v>9865.84</v>
      </c>
      <c r="X155" s="166">
        <v>1048.0300000000002</v>
      </c>
      <c r="Y155" s="166">
        <v>8817.81</v>
      </c>
      <c r="AA155" s="166">
        <v>200897.08</v>
      </c>
      <c r="AC155" s="166">
        <v>202590.31999999995</v>
      </c>
      <c r="AD155" s="166">
        <v>15440.43</v>
      </c>
      <c r="AE155" s="166">
        <v>187149.88999999998</v>
      </c>
      <c r="AF155" s="166">
        <v>9710.59</v>
      </c>
      <c r="AG155" s="166">
        <v>4036.6</v>
      </c>
      <c r="AH155" s="4"/>
      <c r="AI155" s="166">
        <v>56099.66</v>
      </c>
      <c r="AJ155" s="166">
        <v>13105.91</v>
      </c>
      <c r="AK155" s="166">
        <f t="shared" si="13"/>
        <v>42993.75</v>
      </c>
      <c r="AL155" s="4"/>
      <c r="AO155" s="4">
        <f t="shared" si="14"/>
        <v>10920.05</v>
      </c>
    </row>
    <row r="156" spans="1:41" s="2" customFormat="1" ht="15" customHeight="1" x14ac:dyDescent="0.2">
      <c r="A156" s="675" t="s">
        <v>12</v>
      </c>
      <c r="B156" s="675"/>
      <c r="C156" s="675"/>
      <c r="D156" s="492"/>
      <c r="E156" s="470"/>
      <c r="F156" s="166">
        <v>197296.23000000004</v>
      </c>
      <c r="G156" s="166">
        <v>0</v>
      </c>
      <c r="H156" s="166">
        <v>197296.23000000004</v>
      </c>
      <c r="J156" s="166">
        <v>19950.310000000001</v>
      </c>
      <c r="K156" s="166">
        <v>3198.3899999999994</v>
      </c>
      <c r="M156" s="166">
        <v>1260.48</v>
      </c>
      <c r="N156" s="166">
        <v>1043</v>
      </c>
      <c r="P156" s="166">
        <v>127620.2</v>
      </c>
      <c r="Q156" s="166">
        <v>5668.2300000000005</v>
      </c>
      <c r="R156" s="166">
        <v>121951.97</v>
      </c>
      <c r="T156" s="166">
        <v>425.91999999999996</v>
      </c>
      <c r="U156" s="166">
        <v>3983.1</v>
      </c>
      <c r="W156" s="166">
        <v>3284.1200000000003</v>
      </c>
      <c r="X156" s="166">
        <v>123.59999999999997</v>
      </c>
      <c r="Y156" s="166">
        <v>3160.5199999999995</v>
      </c>
      <c r="AA156" s="166">
        <v>331449.2300000001</v>
      </c>
      <c r="AC156" s="166">
        <v>307379.86</v>
      </c>
      <c r="AD156" s="166">
        <v>5791.8300000000008</v>
      </c>
      <c r="AE156" s="166">
        <v>301588.02999999997</v>
      </c>
      <c r="AF156" s="166">
        <v>21636.710000000003</v>
      </c>
      <c r="AG156" s="166">
        <v>8224.49</v>
      </c>
      <c r="AH156" s="4"/>
      <c r="AI156" s="166">
        <v>106799.51000000001</v>
      </c>
      <c r="AJ156" s="166">
        <v>5668.2300000000005</v>
      </c>
      <c r="AK156" s="166">
        <f t="shared" si="13"/>
        <v>101131.28000000001</v>
      </c>
      <c r="AL156" s="4"/>
      <c r="AO156" s="4">
        <f t="shared" si="14"/>
        <v>7569.5399999999991</v>
      </c>
    </row>
    <row r="157" spans="1:41" s="2" customFormat="1" ht="15" customHeight="1" x14ac:dyDescent="0.2">
      <c r="A157" s="493"/>
      <c r="B157" s="493"/>
      <c r="C157" s="493"/>
      <c r="D157" s="492"/>
      <c r="E157" s="470"/>
      <c r="F157" s="170"/>
      <c r="G157" s="494"/>
      <c r="H157" s="170"/>
      <c r="J157" s="170"/>
      <c r="K157" s="170"/>
      <c r="M157" s="170"/>
      <c r="N157" s="170"/>
      <c r="P157" s="170"/>
      <c r="Q157" s="170"/>
      <c r="R157" s="170"/>
      <c r="T157" s="170"/>
      <c r="U157" s="170"/>
      <c r="W157" s="170"/>
      <c r="X157" s="170"/>
      <c r="Y157" s="170"/>
      <c r="AA157" s="170"/>
      <c r="AC157" s="170"/>
      <c r="AD157" s="170"/>
      <c r="AE157" s="170"/>
      <c r="AF157" s="170"/>
      <c r="AG157" s="170"/>
      <c r="AH157" s="4"/>
      <c r="AL157" s="4"/>
    </row>
    <row r="158" spans="1:41" s="2" customFormat="1" ht="15" customHeight="1" x14ac:dyDescent="0.2">
      <c r="A158" s="680" t="s">
        <v>571</v>
      </c>
      <c r="B158" s="680"/>
      <c r="C158" s="680"/>
      <c r="D158" s="496"/>
      <c r="E158" s="497"/>
      <c r="F158" s="265"/>
      <c r="G158" s="264">
        <f>G159/F159</f>
        <v>0.15627815904389317</v>
      </c>
      <c r="H158" s="498"/>
      <c r="I158" s="497"/>
      <c r="J158" s="499"/>
      <c r="K158" s="500"/>
      <c r="L158" s="497"/>
      <c r="M158" s="265"/>
      <c r="N158" s="265"/>
      <c r="O158" s="497"/>
      <c r="P158" s="265"/>
      <c r="Q158" s="265"/>
      <c r="R158" s="265"/>
      <c r="S158" s="497"/>
      <c r="T158" s="265"/>
      <c r="U158" s="265"/>
      <c r="V158" s="497"/>
      <c r="W158" s="265"/>
      <c r="X158" s="265"/>
      <c r="Y158" s="265"/>
      <c r="Z158" s="265"/>
      <c r="AA158" s="497"/>
      <c r="AB158" s="497"/>
      <c r="AC158" s="497"/>
      <c r="AD158" s="497"/>
      <c r="AE158" s="497"/>
      <c r="AF158" s="497"/>
      <c r="AG158" s="497"/>
      <c r="AH158" s="4"/>
      <c r="AI158" s="4"/>
      <c r="AJ158" s="4"/>
      <c r="AK158" s="4"/>
      <c r="AL158" s="4"/>
    </row>
    <row r="159" spans="1:41" s="2" customFormat="1" ht="15" customHeight="1" x14ac:dyDescent="0.2">
      <c r="A159" s="681" t="s">
        <v>8</v>
      </c>
      <c r="B159" s="682"/>
      <c r="C159" s="683"/>
      <c r="D159" s="496"/>
      <c r="E159" s="497"/>
      <c r="F159" s="501">
        <v>1667470.4999999993</v>
      </c>
      <c r="G159" s="501">
        <v>260589.21999999994</v>
      </c>
      <c r="H159" s="501">
        <v>1406881.2799999996</v>
      </c>
      <c r="I159" s="497"/>
      <c r="J159" s="501">
        <v>55481.230000000018</v>
      </c>
      <c r="K159" s="501">
        <v>13547.56</v>
      </c>
      <c r="L159" s="502"/>
      <c r="M159" s="501">
        <v>2079.7200000000003</v>
      </c>
      <c r="N159" s="501">
        <v>8095.79</v>
      </c>
      <c r="O159" s="502"/>
      <c r="P159" s="501">
        <v>241750.71999999994</v>
      </c>
      <c r="Q159" s="501">
        <v>27674.060000000005</v>
      </c>
      <c r="R159" s="501">
        <v>214076.66000000003</v>
      </c>
      <c r="S159" s="502"/>
      <c r="T159" s="501">
        <v>4425.0599999999995</v>
      </c>
      <c r="U159" s="501">
        <v>3338.0299999999997</v>
      </c>
      <c r="V159" s="502"/>
      <c r="W159" s="501">
        <v>198809.50999999995</v>
      </c>
      <c r="X159" s="501">
        <v>23183.68</v>
      </c>
      <c r="Y159" s="501">
        <v>175625.83000000002</v>
      </c>
      <c r="Z159" s="502"/>
      <c r="AA159" s="501">
        <v>1883551.1600000004</v>
      </c>
      <c r="AB159" s="501"/>
      <c r="AC159" s="501">
        <v>2108030.7299999995</v>
      </c>
      <c r="AD159" s="501">
        <v>311446.9599999999</v>
      </c>
      <c r="AE159" s="501">
        <v>1796583.7699999998</v>
      </c>
      <c r="AF159" s="501">
        <v>61986.01</v>
      </c>
      <c r="AG159" s="501">
        <v>24981.379999999994</v>
      </c>
      <c r="AH159" s="4"/>
      <c r="AI159" s="4"/>
      <c r="AJ159" s="4"/>
      <c r="AK159" s="4"/>
      <c r="AL159" s="4"/>
    </row>
    <row r="160" spans="1:41" s="2" customFormat="1" ht="15" customHeight="1" x14ac:dyDescent="0.2">
      <c r="A160" s="497"/>
      <c r="B160" s="497"/>
      <c r="C160" s="497"/>
      <c r="D160" s="496"/>
      <c r="E160" s="497"/>
      <c r="F160" s="264"/>
      <c r="G160" s="264"/>
      <c r="H160" s="264"/>
      <c r="I160" s="497"/>
      <c r="J160" s="264"/>
      <c r="K160" s="264"/>
      <c r="L160" s="497"/>
      <c r="M160" s="264"/>
      <c r="N160" s="264"/>
      <c r="O160" s="497"/>
      <c r="P160" s="264"/>
      <c r="Q160" s="264"/>
      <c r="R160" s="264"/>
      <c r="S160" s="497"/>
      <c r="T160" s="264"/>
      <c r="U160" s="264"/>
      <c r="V160" s="497"/>
      <c r="W160" s="264"/>
      <c r="X160" s="264"/>
      <c r="Y160" s="264"/>
      <c r="Z160" s="497"/>
      <c r="AA160" s="264"/>
      <c r="AB160" s="497"/>
      <c r="AC160" s="497"/>
      <c r="AD160" s="497"/>
      <c r="AE160" s="497"/>
      <c r="AF160" s="497"/>
      <c r="AG160" s="497"/>
      <c r="AH160" s="4"/>
      <c r="AI160" s="4"/>
      <c r="AJ160" s="4"/>
      <c r="AK160" s="4"/>
      <c r="AL160" s="4"/>
    </row>
    <row r="161" spans="1:38" s="2" customFormat="1" ht="15" customHeight="1" x14ac:dyDescent="0.2">
      <c r="A161" s="668" t="s">
        <v>9</v>
      </c>
      <c r="B161" s="668"/>
      <c r="C161" s="668"/>
      <c r="D161" s="503"/>
      <c r="E161" s="504"/>
      <c r="F161" s="267">
        <v>975764.47999999998</v>
      </c>
      <c r="G161" s="267">
        <v>237537.27999999997</v>
      </c>
      <c r="H161" s="267">
        <v>738227.20000000007</v>
      </c>
      <c r="I161" s="497"/>
      <c r="J161" s="267">
        <v>31349</v>
      </c>
      <c r="K161" s="267">
        <v>4841.1100000000006</v>
      </c>
      <c r="L161" s="497"/>
      <c r="M161" s="267">
        <v>16.009999999999998</v>
      </c>
      <c r="N161" s="267">
        <v>1440.15</v>
      </c>
      <c r="O161" s="497"/>
      <c r="P161" s="267">
        <v>5338.09</v>
      </c>
      <c r="Q161" s="267">
        <v>3529.05</v>
      </c>
      <c r="R161" s="267">
        <v>1809.04</v>
      </c>
      <c r="S161" s="497"/>
      <c r="T161" s="267">
        <v>3831.33</v>
      </c>
      <c r="U161" s="267">
        <v>2007.3</v>
      </c>
      <c r="V161" s="497"/>
      <c r="W161" s="267">
        <v>138537.12000000002</v>
      </c>
      <c r="X161" s="267">
        <v>17732.95</v>
      </c>
      <c r="Y161" s="267">
        <v>120804.17</v>
      </c>
      <c r="Z161" s="497"/>
      <c r="AA161" s="267">
        <v>904325.31</v>
      </c>
      <c r="AB161" s="497"/>
      <c r="AC161" s="267">
        <v>1119639.6900000002</v>
      </c>
      <c r="AD161" s="267">
        <v>258799.27999999994</v>
      </c>
      <c r="AE161" s="267">
        <v>860840.41</v>
      </c>
      <c r="AF161" s="267">
        <v>35196.339999999997</v>
      </c>
      <c r="AG161" s="267">
        <v>8288.5600000000013</v>
      </c>
      <c r="AH161" s="4"/>
      <c r="AI161" s="4"/>
      <c r="AJ161" s="4"/>
      <c r="AK161" s="4"/>
      <c r="AL161" s="4"/>
    </row>
    <row r="162" spans="1:38" s="2" customFormat="1" ht="15" customHeight="1" x14ac:dyDescent="0.2">
      <c r="A162" s="668" t="s">
        <v>10</v>
      </c>
      <c r="B162" s="668"/>
      <c r="C162" s="668"/>
      <c r="D162" s="503"/>
      <c r="E162" s="504"/>
      <c r="F162" s="267">
        <v>339702.53</v>
      </c>
      <c r="G162" s="267">
        <v>13860.849999999999</v>
      </c>
      <c r="H162" s="267">
        <v>325841.68</v>
      </c>
      <c r="I162" s="497"/>
      <c r="J162" s="267">
        <v>8280.82</v>
      </c>
      <c r="K162" s="267">
        <v>993.16</v>
      </c>
      <c r="L162" s="497"/>
      <c r="M162" s="267">
        <v>612.71</v>
      </c>
      <c r="N162" s="267">
        <v>1098</v>
      </c>
      <c r="O162" s="497"/>
      <c r="P162" s="267">
        <v>60655.820000000007</v>
      </c>
      <c r="Q162" s="267">
        <v>4698.8499999999995</v>
      </c>
      <c r="R162" s="267">
        <v>55956.97</v>
      </c>
      <c r="S162" s="497"/>
      <c r="T162" s="267">
        <v>80.900000000000006</v>
      </c>
      <c r="U162" s="267">
        <v>0</v>
      </c>
      <c r="V162" s="497"/>
      <c r="W162" s="267">
        <v>48317.420000000006</v>
      </c>
      <c r="X162" s="267">
        <v>4058.07</v>
      </c>
      <c r="Y162" s="267">
        <v>44259.35</v>
      </c>
      <c r="Z162" s="497"/>
      <c r="AA162" s="267">
        <v>437123.59</v>
      </c>
      <c r="AB162" s="497"/>
      <c r="AC162" s="267">
        <v>448675.76999999996</v>
      </c>
      <c r="AD162" s="267">
        <v>22617.77</v>
      </c>
      <c r="AE162" s="267">
        <v>426057.99999999994</v>
      </c>
      <c r="AF162" s="267">
        <v>8974.43</v>
      </c>
      <c r="AG162" s="267">
        <v>2091.16</v>
      </c>
      <c r="AH162" s="4"/>
      <c r="AI162" s="4"/>
      <c r="AJ162" s="4"/>
      <c r="AK162" s="4"/>
      <c r="AL162" s="4"/>
    </row>
    <row r="163" spans="1:38" s="2" customFormat="1" ht="15" customHeight="1" x14ac:dyDescent="0.2">
      <c r="A163" s="668" t="s">
        <v>11</v>
      </c>
      <c r="B163" s="668"/>
      <c r="C163" s="668"/>
      <c r="D163" s="503"/>
      <c r="E163" s="504"/>
      <c r="F163" s="267">
        <v>139348.97999999998</v>
      </c>
      <c r="G163" s="267">
        <v>9191.09</v>
      </c>
      <c r="H163" s="267">
        <v>130157.89</v>
      </c>
      <c r="I163" s="497"/>
      <c r="J163" s="267">
        <v>7441.58</v>
      </c>
      <c r="K163" s="267">
        <v>1832.05</v>
      </c>
      <c r="L163" s="497"/>
      <c r="M163" s="267">
        <v>481.88000000000005</v>
      </c>
      <c r="N163" s="267">
        <v>891.79</v>
      </c>
      <c r="O163" s="497"/>
      <c r="P163" s="267">
        <v>56741.520000000004</v>
      </c>
      <c r="Q163" s="267">
        <v>5997.0300000000016</v>
      </c>
      <c r="R163" s="267">
        <v>50744.49</v>
      </c>
      <c r="S163" s="497"/>
      <c r="T163" s="267">
        <v>349.49</v>
      </c>
      <c r="U163" s="267">
        <v>0</v>
      </c>
      <c r="V163" s="497"/>
      <c r="W163" s="267">
        <v>8852.89</v>
      </c>
      <c r="X163" s="267">
        <v>575.86</v>
      </c>
      <c r="Y163" s="267">
        <v>8277.0299999999988</v>
      </c>
      <c r="Z163" s="497"/>
      <c r="AA163" s="267">
        <v>200176.2</v>
      </c>
      <c r="AB163" s="497"/>
      <c r="AC163" s="267">
        <v>204943.38999999998</v>
      </c>
      <c r="AD163" s="267">
        <v>15763.98</v>
      </c>
      <c r="AE163" s="267">
        <v>189179.40999999997</v>
      </c>
      <c r="AF163" s="267">
        <v>8272.9500000000007</v>
      </c>
      <c r="AG163" s="267">
        <v>2723.84</v>
      </c>
      <c r="AH163" s="4"/>
      <c r="AI163" s="4"/>
      <c r="AJ163" s="4"/>
      <c r="AK163" s="4"/>
      <c r="AL163" s="4"/>
    </row>
    <row r="164" spans="1:38" s="2" customFormat="1" ht="15" customHeight="1" x14ac:dyDescent="0.2">
      <c r="A164" s="668" t="s">
        <v>12</v>
      </c>
      <c r="B164" s="668"/>
      <c r="C164" s="668"/>
      <c r="D164" s="503"/>
      <c r="E164" s="504"/>
      <c r="F164" s="267">
        <v>212654.51</v>
      </c>
      <c r="G164" s="267">
        <v>0</v>
      </c>
      <c r="H164" s="267">
        <v>212654.51</v>
      </c>
      <c r="I164" s="497"/>
      <c r="J164" s="267">
        <v>8409.83</v>
      </c>
      <c r="K164" s="267">
        <v>5881.24</v>
      </c>
      <c r="L164" s="497"/>
      <c r="M164" s="267">
        <v>969.11999999999978</v>
      </c>
      <c r="N164" s="267">
        <v>4665.8499999999995</v>
      </c>
      <c r="O164" s="497"/>
      <c r="P164" s="267">
        <v>119015.29000000001</v>
      </c>
      <c r="Q164" s="267">
        <v>13449.130000000001</v>
      </c>
      <c r="R164" s="267">
        <v>105566.15999999999</v>
      </c>
      <c r="S164" s="497"/>
      <c r="T164" s="267">
        <v>163.34</v>
      </c>
      <c r="U164" s="267">
        <v>1330.73</v>
      </c>
      <c r="V164" s="497"/>
      <c r="W164" s="267">
        <v>3102.08</v>
      </c>
      <c r="X164" s="267">
        <v>816.8</v>
      </c>
      <c r="Y164" s="267">
        <v>2285.2799999999997</v>
      </c>
      <c r="Z164" s="497"/>
      <c r="AA164" s="267">
        <v>341926.05999999994</v>
      </c>
      <c r="AB164" s="497"/>
      <c r="AC164" s="267">
        <v>334771.87999999989</v>
      </c>
      <c r="AD164" s="267">
        <v>14265.93</v>
      </c>
      <c r="AE164" s="267">
        <v>320505.94999999995</v>
      </c>
      <c r="AF164" s="267">
        <v>9542.2899999999991</v>
      </c>
      <c r="AG164" s="267">
        <v>11877.82</v>
      </c>
      <c r="AH164" s="4"/>
      <c r="AI164" s="4"/>
      <c r="AJ164" s="4"/>
      <c r="AK164" s="4"/>
      <c r="AL164" s="4"/>
    </row>
    <row r="165" spans="1:38" s="2" customFormat="1" ht="15" customHeight="1" x14ac:dyDescent="0.2">
      <c r="A165" s="493"/>
      <c r="B165" s="493"/>
      <c r="C165" s="493"/>
      <c r="D165" s="492"/>
      <c r="E165" s="470"/>
      <c r="F165" s="170"/>
      <c r="G165" s="170"/>
      <c r="H165" s="170"/>
      <c r="J165" s="170"/>
      <c r="K165" s="170"/>
      <c r="M165" s="170"/>
      <c r="N165" s="170"/>
      <c r="P165" s="170"/>
      <c r="Q165" s="170"/>
      <c r="R165" s="170"/>
      <c r="T165" s="170"/>
      <c r="U165" s="170"/>
      <c r="W165" s="170"/>
      <c r="X165" s="170"/>
      <c r="Y165" s="170"/>
      <c r="AA165" s="170"/>
      <c r="AC165" s="170"/>
      <c r="AD165" s="170"/>
      <c r="AE165" s="170"/>
      <c r="AF165" s="170"/>
      <c r="AG165" s="170"/>
      <c r="AH165" s="4"/>
      <c r="AI165" s="4"/>
      <c r="AJ165" s="4"/>
      <c r="AK165" s="4"/>
      <c r="AL165" s="4"/>
    </row>
    <row r="166" spans="1:38" s="2" customFormat="1" ht="15" customHeight="1" x14ac:dyDescent="0.2">
      <c r="A166" s="669" t="s">
        <v>572</v>
      </c>
      <c r="B166" s="669"/>
      <c r="C166" s="669"/>
      <c r="D166" s="505"/>
      <c r="E166" s="506"/>
      <c r="F166" s="507"/>
      <c r="G166" s="188">
        <f>G167/F167</f>
        <v>0.15063709946051412</v>
      </c>
      <c r="H166" s="508"/>
      <c r="I166" s="506"/>
      <c r="J166" s="487"/>
      <c r="K166" s="509"/>
      <c r="L166" s="506"/>
      <c r="M166" s="507"/>
      <c r="N166" s="507"/>
      <c r="O166" s="506"/>
      <c r="P166" s="507"/>
      <c r="Q166" s="507"/>
      <c r="R166" s="507"/>
      <c r="S166" s="506"/>
      <c r="T166" s="507"/>
      <c r="U166" s="507"/>
      <c r="V166" s="506"/>
      <c r="W166" s="507"/>
      <c r="X166" s="507"/>
      <c r="Y166" s="507"/>
      <c r="Z166" s="507"/>
      <c r="AA166" s="507"/>
      <c r="AB166" s="506"/>
      <c r="AC166" s="506"/>
      <c r="AD166" s="506"/>
      <c r="AE166" s="506"/>
      <c r="AF166" s="506"/>
      <c r="AG166" s="506"/>
      <c r="AH166" s="4"/>
      <c r="AI166" s="4"/>
      <c r="AJ166" s="4"/>
      <c r="AK166" s="4"/>
      <c r="AL166" s="4"/>
    </row>
    <row r="167" spans="1:38" s="2" customFormat="1" ht="15" customHeight="1" x14ac:dyDescent="0.2">
      <c r="A167" s="670" t="s">
        <v>8</v>
      </c>
      <c r="B167" s="671"/>
      <c r="C167" s="672"/>
      <c r="D167" s="505"/>
      <c r="E167" s="506"/>
      <c r="F167" s="510">
        <v>1687162.0000000005</v>
      </c>
      <c r="G167" s="510">
        <v>254149.19</v>
      </c>
      <c r="H167" s="510">
        <v>1433012.8100000005</v>
      </c>
      <c r="I167" s="506"/>
      <c r="J167" s="510">
        <v>60592.240000000027</v>
      </c>
      <c r="K167" s="510">
        <v>16212.369999999997</v>
      </c>
      <c r="L167" s="511"/>
      <c r="M167" s="510">
        <v>1178.6299999999999</v>
      </c>
      <c r="N167" s="510">
        <v>4611.6200000000008</v>
      </c>
      <c r="O167" s="511"/>
      <c r="P167" s="510">
        <v>228898.63</v>
      </c>
      <c r="Q167" s="510">
        <v>25513.929999999993</v>
      </c>
      <c r="R167" s="510">
        <v>203384.95999999996</v>
      </c>
      <c r="S167" s="511"/>
      <c r="T167" s="510">
        <v>3746.41</v>
      </c>
      <c r="U167" s="510">
        <v>4998</v>
      </c>
      <c r="V167" s="511"/>
      <c r="W167" s="510">
        <v>206250.78999999998</v>
      </c>
      <c r="X167" s="510">
        <v>22098.539999999997</v>
      </c>
      <c r="Y167" s="510">
        <v>184152.24999999997</v>
      </c>
      <c r="Z167" s="511"/>
      <c r="AA167" s="510">
        <v>1911889.29</v>
      </c>
      <c r="AB167" s="510"/>
      <c r="AC167" s="510">
        <v>2122311.4200000004</v>
      </c>
      <c r="AD167" s="510">
        <v>301761.65999999986</v>
      </c>
      <c r="AE167" s="510">
        <v>1820550.0200000003</v>
      </c>
      <c r="AF167" s="510">
        <v>65517.280000000013</v>
      </c>
      <c r="AG167" s="510">
        <v>25821.989999999998</v>
      </c>
      <c r="AH167" s="4"/>
      <c r="AI167" s="4"/>
      <c r="AJ167" s="4"/>
      <c r="AK167" s="4"/>
      <c r="AL167" s="4"/>
    </row>
    <row r="168" spans="1:38" s="2" customFormat="1" ht="15" customHeight="1" x14ac:dyDescent="0.2">
      <c r="A168" s="506"/>
      <c r="B168" s="506"/>
      <c r="C168" s="506"/>
      <c r="D168" s="505"/>
      <c r="E168" s="506"/>
      <c r="F168" s="188"/>
      <c r="G168" s="188"/>
      <c r="H168" s="188"/>
      <c r="I168" s="506"/>
      <c r="J168" s="188"/>
      <c r="K168" s="188"/>
      <c r="L168" s="506"/>
      <c r="M168" s="188"/>
      <c r="N168" s="188"/>
      <c r="O168" s="506"/>
      <c r="P168" s="188"/>
      <c r="Q168" s="188"/>
      <c r="R168" s="188"/>
      <c r="S168" s="506"/>
      <c r="T168" s="188"/>
      <c r="U168" s="188"/>
      <c r="V168" s="506"/>
      <c r="W168" s="188"/>
      <c r="X168" s="188"/>
      <c r="Y168" s="188"/>
      <c r="Z168" s="506"/>
      <c r="AA168" s="188"/>
      <c r="AB168" s="506"/>
      <c r="AC168" s="506"/>
      <c r="AD168" s="506"/>
      <c r="AE168" s="506"/>
      <c r="AF168" s="506"/>
      <c r="AG168" s="506"/>
      <c r="AH168" s="4"/>
      <c r="AI168" s="4"/>
      <c r="AJ168" s="4"/>
      <c r="AK168" s="4"/>
      <c r="AL168" s="4"/>
    </row>
    <row r="169" spans="1:38" s="2" customFormat="1" ht="15" customHeight="1" x14ac:dyDescent="0.2">
      <c r="A169" s="673" t="s">
        <v>9</v>
      </c>
      <c r="B169" s="673"/>
      <c r="C169" s="673"/>
      <c r="D169" s="512"/>
      <c r="E169" s="513"/>
      <c r="F169" s="191">
        <v>985828.94000000006</v>
      </c>
      <c r="G169" s="191">
        <v>238825.8</v>
      </c>
      <c r="H169" s="191">
        <v>747003.14000000013</v>
      </c>
      <c r="I169" s="506"/>
      <c r="J169" s="191">
        <v>38696.89</v>
      </c>
      <c r="K169" s="191">
        <v>5445.72</v>
      </c>
      <c r="L169" s="506"/>
      <c r="M169" s="191">
        <v>3.69</v>
      </c>
      <c r="N169" s="191">
        <v>419</v>
      </c>
      <c r="O169" s="506"/>
      <c r="P169" s="191">
        <v>2024.5299999999997</v>
      </c>
      <c r="Q169" s="191">
        <v>854.53000000000009</v>
      </c>
      <c r="R169" s="191">
        <v>1170</v>
      </c>
      <c r="S169" s="506"/>
      <c r="T169" s="191">
        <v>3745.41</v>
      </c>
      <c r="U169" s="191">
        <v>1067.5</v>
      </c>
      <c r="V169" s="506"/>
      <c r="W169" s="191">
        <v>140604.69000000003</v>
      </c>
      <c r="X169" s="191">
        <v>13427.42</v>
      </c>
      <c r="Y169" s="191">
        <v>127177.26999999999</v>
      </c>
      <c r="Z169" s="506"/>
      <c r="AA169" s="191">
        <v>924728.61999999976</v>
      </c>
      <c r="AB169" s="506"/>
      <c r="AC169" s="191">
        <v>1128458.1600000001</v>
      </c>
      <c r="AD169" s="191">
        <v>253107.75</v>
      </c>
      <c r="AE169" s="191">
        <v>875350.41</v>
      </c>
      <c r="AF169" s="191">
        <v>42445.990000000005</v>
      </c>
      <c r="AG169" s="191">
        <v>6932.22</v>
      </c>
      <c r="AH169" s="4"/>
      <c r="AI169" s="4"/>
      <c r="AJ169" s="4"/>
      <c r="AK169" s="4"/>
      <c r="AL169" s="4"/>
    </row>
    <row r="170" spans="1:38" s="2" customFormat="1" ht="15" customHeight="1" x14ac:dyDescent="0.2">
      <c r="A170" s="673" t="s">
        <v>10</v>
      </c>
      <c r="B170" s="673"/>
      <c r="C170" s="673"/>
      <c r="D170" s="512"/>
      <c r="E170" s="513"/>
      <c r="F170" s="191">
        <v>344172.79999999999</v>
      </c>
      <c r="G170" s="191">
        <v>13542</v>
      </c>
      <c r="H170" s="191">
        <v>330630.80000000005</v>
      </c>
      <c r="I170" s="506"/>
      <c r="J170" s="191">
        <v>8503.15</v>
      </c>
      <c r="K170" s="191">
        <v>1103.05</v>
      </c>
      <c r="L170" s="506"/>
      <c r="M170" s="191">
        <v>150.11000000000001</v>
      </c>
      <c r="N170" s="191">
        <v>27.39</v>
      </c>
      <c r="O170" s="506"/>
      <c r="P170" s="191">
        <v>65531.18</v>
      </c>
      <c r="Q170" s="191">
        <v>5593.5200000000023</v>
      </c>
      <c r="R170" s="191">
        <v>59937.66</v>
      </c>
      <c r="S170" s="506"/>
      <c r="T170" s="191">
        <v>1</v>
      </c>
      <c r="U170" s="191">
        <v>3910</v>
      </c>
      <c r="V170" s="506"/>
      <c r="W170" s="191">
        <v>47762.479999999989</v>
      </c>
      <c r="X170" s="191">
        <v>7676.47</v>
      </c>
      <c r="Y170" s="191">
        <v>40086.01</v>
      </c>
      <c r="Z170" s="506"/>
      <c r="AA170" s="191">
        <v>444349.17</v>
      </c>
      <c r="AB170" s="506"/>
      <c r="AC170" s="191">
        <v>457466.46000000008</v>
      </c>
      <c r="AD170" s="191">
        <v>26811.99</v>
      </c>
      <c r="AE170" s="191">
        <v>430654.47</v>
      </c>
      <c r="AF170" s="191">
        <v>8654.26</v>
      </c>
      <c r="AG170" s="191">
        <v>5040.4400000000005</v>
      </c>
      <c r="AH170" s="163"/>
      <c r="AI170" s="163"/>
      <c r="AJ170" s="163"/>
      <c r="AK170" s="163"/>
      <c r="AL170" s="163"/>
    </row>
    <row r="171" spans="1:38" s="2" customFormat="1" ht="15" customHeight="1" x14ac:dyDescent="0.2">
      <c r="A171" s="673" t="s">
        <v>11</v>
      </c>
      <c r="B171" s="673"/>
      <c r="C171" s="673"/>
      <c r="D171" s="512"/>
      <c r="E171" s="513"/>
      <c r="F171" s="191">
        <v>145847.06</v>
      </c>
      <c r="G171" s="191">
        <v>1665.5899999999997</v>
      </c>
      <c r="H171" s="191">
        <v>144181.47</v>
      </c>
      <c r="I171" s="506"/>
      <c r="J171" s="191">
        <v>6009.25</v>
      </c>
      <c r="K171" s="191">
        <v>2029.46</v>
      </c>
      <c r="L171" s="506"/>
      <c r="M171" s="191">
        <v>137.28</v>
      </c>
      <c r="N171" s="191">
        <v>656.94</v>
      </c>
      <c r="O171" s="506"/>
      <c r="P171" s="191">
        <v>72488.37</v>
      </c>
      <c r="Q171" s="191">
        <v>14258.949999999999</v>
      </c>
      <c r="R171" s="191">
        <v>58229.42</v>
      </c>
      <c r="S171" s="506"/>
      <c r="T171" s="191">
        <v>0</v>
      </c>
      <c r="U171" s="191">
        <v>0</v>
      </c>
      <c r="V171" s="506"/>
      <c r="W171" s="191">
        <v>15001.390000000001</v>
      </c>
      <c r="X171" s="191">
        <v>706.40000000000009</v>
      </c>
      <c r="Y171" s="191">
        <v>14294.99</v>
      </c>
      <c r="Z171" s="506"/>
      <c r="AA171" s="191">
        <v>225538.80999999997</v>
      </c>
      <c r="AB171" s="506"/>
      <c r="AC171" s="191">
        <v>233336.81999999998</v>
      </c>
      <c r="AD171" s="191">
        <v>16630.939999999999</v>
      </c>
      <c r="AE171" s="191">
        <v>216705.88</v>
      </c>
      <c r="AF171" s="191">
        <v>6146.5300000000007</v>
      </c>
      <c r="AG171" s="191">
        <v>2686.4</v>
      </c>
      <c r="AH171" s="163"/>
      <c r="AI171" s="163"/>
      <c r="AJ171" s="163"/>
      <c r="AK171" s="163"/>
      <c r="AL171" s="163"/>
    </row>
    <row r="172" spans="1:38" s="2" customFormat="1" ht="15" customHeight="1" x14ac:dyDescent="0.2">
      <c r="A172" s="673" t="s">
        <v>12</v>
      </c>
      <c r="B172" s="673"/>
      <c r="C172" s="673"/>
      <c r="D172" s="512"/>
      <c r="E172" s="513"/>
      <c r="F172" s="191">
        <v>211313.19999999995</v>
      </c>
      <c r="G172" s="191">
        <v>115.8</v>
      </c>
      <c r="H172" s="191">
        <v>211197.39999999997</v>
      </c>
      <c r="I172" s="506"/>
      <c r="J172" s="191">
        <v>7382.95</v>
      </c>
      <c r="K172" s="191">
        <v>7634.14</v>
      </c>
      <c r="L172" s="506"/>
      <c r="M172" s="191">
        <v>887.54999999999984</v>
      </c>
      <c r="N172" s="191">
        <v>3508.29</v>
      </c>
      <c r="O172" s="506"/>
      <c r="P172" s="191">
        <v>88854.550000000017</v>
      </c>
      <c r="Q172" s="191">
        <v>4806.9299999999994</v>
      </c>
      <c r="R172" s="191">
        <v>84047.880000000019</v>
      </c>
      <c r="S172" s="506"/>
      <c r="T172" s="191">
        <v>0</v>
      </c>
      <c r="U172" s="191">
        <v>20.5</v>
      </c>
      <c r="V172" s="506"/>
      <c r="W172" s="191">
        <v>2882.23</v>
      </c>
      <c r="X172" s="191">
        <v>288.25</v>
      </c>
      <c r="Y172" s="191">
        <v>2593.9799999999996</v>
      </c>
      <c r="Z172" s="506"/>
      <c r="AA172" s="191">
        <v>317272.69</v>
      </c>
      <c r="AB172" s="506"/>
      <c r="AC172" s="191">
        <v>303049.97999999992</v>
      </c>
      <c r="AD172" s="191">
        <v>5210.9799999999996</v>
      </c>
      <c r="AE172" s="191">
        <v>297839.25999999989</v>
      </c>
      <c r="AF172" s="191">
        <v>8270.5000000000018</v>
      </c>
      <c r="AG172" s="191">
        <v>11162.929999999998</v>
      </c>
      <c r="AH172" s="163"/>
      <c r="AI172" s="163"/>
      <c r="AJ172" s="163"/>
      <c r="AK172" s="163"/>
      <c r="AL172" s="163"/>
    </row>
    <row r="173" spans="1:38" s="2" customFormat="1" ht="15" customHeight="1" x14ac:dyDescent="0.2">
      <c r="A173" s="493"/>
      <c r="B173" s="493"/>
      <c r="C173" s="493"/>
      <c r="D173" s="492"/>
      <c r="E173" s="470"/>
      <c r="F173" s="170"/>
      <c r="G173" s="170"/>
      <c r="H173" s="170"/>
      <c r="J173" s="170"/>
      <c r="K173" s="170"/>
      <c r="M173" s="170"/>
      <c r="N173" s="170"/>
      <c r="P173" s="170"/>
      <c r="Q173" s="170"/>
      <c r="R173" s="170"/>
      <c r="T173" s="170"/>
      <c r="U173" s="170"/>
      <c r="W173" s="170"/>
      <c r="X173" s="170"/>
      <c r="Y173" s="170"/>
      <c r="AA173" s="170"/>
      <c r="AC173" s="170"/>
      <c r="AD173" s="170"/>
      <c r="AE173" s="170"/>
      <c r="AF173" s="170"/>
      <c r="AG173" s="170"/>
      <c r="AH173" s="163"/>
      <c r="AI173" s="163"/>
      <c r="AJ173" s="163"/>
      <c r="AK173" s="163"/>
      <c r="AL173" s="163"/>
    </row>
    <row r="174" spans="1:38" x14ac:dyDescent="0.2">
      <c r="A174" s="674" t="s">
        <v>573</v>
      </c>
      <c r="B174" s="674"/>
      <c r="C174" s="674"/>
      <c r="D174" s="514"/>
      <c r="E174" s="223"/>
      <c r="F174" s="515"/>
      <c r="G174" s="198">
        <f>G175/F175</f>
        <v>0.15202289149254797</v>
      </c>
      <c r="H174" s="516"/>
      <c r="I174" s="223"/>
      <c r="J174" s="517"/>
      <c r="K174" s="518"/>
      <c r="L174" s="223"/>
      <c r="M174" s="515"/>
      <c r="N174" s="515"/>
      <c r="O174" s="223"/>
      <c r="P174" s="515"/>
      <c r="Q174" s="515"/>
      <c r="R174" s="515"/>
      <c r="S174" s="223"/>
      <c r="T174" s="515"/>
      <c r="U174" s="515"/>
      <c r="V174" s="223"/>
      <c r="W174" s="515"/>
      <c r="X174" s="515"/>
      <c r="Y174" s="516"/>
      <c r="Z174" s="223"/>
      <c r="AA174" s="223"/>
      <c r="AB174" s="223"/>
      <c r="AC174" s="223"/>
      <c r="AD174" s="223"/>
      <c r="AE174" s="223"/>
      <c r="AF174" s="223"/>
      <c r="AG174" s="223"/>
      <c r="AI174"/>
      <c r="AJ174"/>
      <c r="AK174"/>
    </row>
    <row r="175" spans="1:38" s="2" customFormat="1" ht="11.25" x14ac:dyDescent="0.2">
      <c r="A175" s="613" t="s">
        <v>8</v>
      </c>
      <c r="B175" s="614"/>
      <c r="C175" s="615"/>
      <c r="D175" s="514"/>
      <c r="E175" s="223"/>
      <c r="F175" s="224">
        <v>1707114.550000001</v>
      </c>
      <c r="G175" s="224">
        <v>259520.49000000002</v>
      </c>
      <c r="H175" s="224">
        <v>1447594.0600000005</v>
      </c>
      <c r="I175" s="223"/>
      <c r="J175" s="224">
        <v>57856.330000000024</v>
      </c>
      <c r="K175" s="224">
        <v>16989.580000000002</v>
      </c>
      <c r="L175" s="519"/>
      <c r="M175" s="224">
        <v>9364.8499999999985</v>
      </c>
      <c r="N175" s="224">
        <v>5019.1099999999997</v>
      </c>
      <c r="O175" s="519"/>
      <c r="P175" s="224">
        <v>234246.19999999998</v>
      </c>
      <c r="Q175" s="224">
        <v>4731.3499999999985</v>
      </c>
      <c r="R175" s="224">
        <v>229514.84999999998</v>
      </c>
      <c r="S175" s="519"/>
      <c r="T175" s="224">
        <v>155.88</v>
      </c>
      <c r="U175" s="224">
        <v>75.430000000000007</v>
      </c>
      <c r="V175" s="519"/>
      <c r="W175" s="224">
        <v>209717.83000000005</v>
      </c>
      <c r="X175" s="224">
        <v>31282.25</v>
      </c>
      <c r="Y175" s="224">
        <v>178435.58000000005</v>
      </c>
      <c r="Z175" s="519"/>
      <c r="AA175" s="224">
        <v>1945005.6699999997</v>
      </c>
      <c r="AB175" s="224"/>
      <c r="AC175" s="224">
        <v>2151078.5799999996</v>
      </c>
      <c r="AD175" s="224">
        <v>295534.08999999997</v>
      </c>
      <c r="AE175" s="224">
        <v>1855544.49</v>
      </c>
      <c r="AF175" s="224">
        <v>67377.060000000027</v>
      </c>
      <c r="AG175" s="224">
        <v>22084.120000000003</v>
      </c>
    </row>
    <row r="176" spans="1:38" s="2" customFormat="1" ht="15" customHeight="1" x14ac:dyDescent="0.2">
      <c r="A176" s="223"/>
      <c r="B176" s="223"/>
      <c r="C176" s="223"/>
      <c r="D176" s="514"/>
      <c r="E176" s="223"/>
      <c r="F176" s="198"/>
      <c r="G176" s="198"/>
      <c r="H176" s="198"/>
      <c r="I176" s="223"/>
      <c r="J176" s="198"/>
      <c r="K176" s="198"/>
      <c r="L176" s="223"/>
      <c r="M176" s="198"/>
      <c r="N176" s="198"/>
      <c r="O176" s="223"/>
      <c r="P176" s="198"/>
      <c r="Q176" s="198"/>
      <c r="R176" s="198"/>
      <c r="S176" s="223"/>
      <c r="T176" s="198"/>
      <c r="U176" s="198"/>
      <c r="V176" s="223"/>
      <c r="W176" s="198"/>
      <c r="X176" s="198"/>
      <c r="Y176" s="198"/>
      <c r="Z176" s="223"/>
      <c r="AA176" s="198"/>
      <c r="AB176" s="223"/>
      <c r="AC176" s="223"/>
      <c r="AD176" s="223"/>
      <c r="AE176" s="223"/>
      <c r="AF176" s="223"/>
      <c r="AG176" s="223"/>
    </row>
    <row r="177" spans="1:37" s="2" customFormat="1" ht="11.25" x14ac:dyDescent="0.2">
      <c r="A177" s="607" t="s">
        <v>9</v>
      </c>
      <c r="B177" s="607"/>
      <c r="C177" s="607"/>
      <c r="D177" s="520"/>
      <c r="E177" s="227"/>
      <c r="F177" s="201">
        <v>984680.18</v>
      </c>
      <c r="G177" s="201">
        <v>231973.97</v>
      </c>
      <c r="H177" s="201">
        <v>752706.21000000008</v>
      </c>
      <c r="I177" s="223"/>
      <c r="J177" s="201">
        <v>33087.550000000003</v>
      </c>
      <c r="K177" s="201">
        <v>6289.25</v>
      </c>
      <c r="L177" s="223"/>
      <c r="M177" s="201">
        <v>1327.27</v>
      </c>
      <c r="N177" s="201">
        <v>0</v>
      </c>
      <c r="O177" s="223"/>
      <c r="P177" s="201">
        <v>0</v>
      </c>
      <c r="Q177" s="201">
        <v>0</v>
      </c>
      <c r="R177" s="201">
        <v>0</v>
      </c>
      <c r="S177" s="223"/>
      <c r="T177" s="201">
        <v>37.65</v>
      </c>
      <c r="U177" s="201">
        <v>72.25</v>
      </c>
      <c r="V177" s="223"/>
      <c r="W177" s="201">
        <v>146666.54</v>
      </c>
      <c r="X177" s="201">
        <v>17827.59</v>
      </c>
      <c r="Y177" s="201">
        <v>128838.95000000001</v>
      </c>
      <c r="Z177" s="223"/>
      <c r="AA177" s="201">
        <v>922359.13</v>
      </c>
      <c r="AB177" s="223"/>
      <c r="AC177" s="201">
        <v>1131346.7200000002</v>
      </c>
      <c r="AD177" s="201">
        <v>249801.56</v>
      </c>
      <c r="AE177" s="201">
        <v>881545.15999999992</v>
      </c>
      <c r="AF177" s="201">
        <v>34452.470000000008</v>
      </c>
      <c r="AG177" s="201">
        <v>6361.5</v>
      </c>
    </row>
    <row r="178" spans="1:37" s="2" customFormat="1" ht="15" customHeight="1" x14ac:dyDescent="0.2">
      <c r="A178" s="607" t="s">
        <v>10</v>
      </c>
      <c r="B178" s="607"/>
      <c r="C178" s="607"/>
      <c r="D178" s="520"/>
      <c r="E178" s="227"/>
      <c r="F178" s="201">
        <v>353070.51999999996</v>
      </c>
      <c r="G178" s="201">
        <v>14243.56</v>
      </c>
      <c r="H178" s="201">
        <v>338826.95999999996</v>
      </c>
      <c r="I178" s="223"/>
      <c r="J178" s="201">
        <v>11954.68</v>
      </c>
      <c r="K178" s="201">
        <v>1099.9499999999998</v>
      </c>
      <c r="L178" s="223"/>
      <c r="M178" s="201">
        <v>2451.36</v>
      </c>
      <c r="N178" s="201">
        <v>0</v>
      </c>
      <c r="O178" s="223"/>
      <c r="P178" s="201">
        <v>63253.62</v>
      </c>
      <c r="Q178" s="201">
        <v>30.109999999999985</v>
      </c>
      <c r="R178" s="201">
        <v>63223.51</v>
      </c>
      <c r="S178" s="223"/>
      <c r="T178" s="201">
        <v>25</v>
      </c>
      <c r="U178" s="201">
        <v>0</v>
      </c>
      <c r="V178" s="223"/>
      <c r="W178" s="201">
        <v>44929.369999999995</v>
      </c>
      <c r="X178" s="201">
        <v>12720.8</v>
      </c>
      <c r="Y178" s="201">
        <v>32208.569999999996</v>
      </c>
      <c r="Z178" s="223"/>
      <c r="AA178" s="201">
        <v>449790.03</v>
      </c>
      <c r="AB178" s="223"/>
      <c r="AC178" s="201">
        <v>461253.51</v>
      </c>
      <c r="AD178" s="201">
        <v>26994.469999999998</v>
      </c>
      <c r="AE178" s="201">
        <v>434259.04</v>
      </c>
      <c r="AF178" s="201">
        <v>14431.04</v>
      </c>
      <c r="AG178" s="201">
        <v>1099.9499999999998</v>
      </c>
    </row>
    <row r="179" spans="1:37" s="2" customFormat="1" ht="15" customHeight="1" x14ac:dyDescent="0.2">
      <c r="A179" s="607" t="s">
        <v>11</v>
      </c>
      <c r="B179" s="607"/>
      <c r="C179" s="607"/>
      <c r="D179" s="520"/>
      <c r="E179" s="227"/>
      <c r="F179" s="201">
        <v>153121.4</v>
      </c>
      <c r="G179" s="201">
        <v>13302.96</v>
      </c>
      <c r="H179" s="201">
        <v>139818.44</v>
      </c>
      <c r="I179" s="223"/>
      <c r="J179" s="201">
        <v>5032.8500000000004</v>
      </c>
      <c r="K179" s="201">
        <v>1820.54</v>
      </c>
      <c r="L179" s="223"/>
      <c r="M179" s="201">
        <v>327.27</v>
      </c>
      <c r="N179" s="201">
        <v>4.42</v>
      </c>
      <c r="O179" s="223"/>
      <c r="P179" s="201">
        <v>58175.439999999988</v>
      </c>
      <c r="Q179" s="201">
        <v>1482.81</v>
      </c>
      <c r="R179" s="201">
        <v>56692.62999999999</v>
      </c>
      <c r="S179" s="223"/>
      <c r="T179" s="201">
        <v>0</v>
      </c>
      <c r="U179" s="201">
        <v>0</v>
      </c>
      <c r="V179" s="223"/>
      <c r="W179" s="201">
        <v>12108.74</v>
      </c>
      <c r="X179" s="201">
        <v>606.20000000000016</v>
      </c>
      <c r="Y179" s="201">
        <v>11502.539999999999</v>
      </c>
      <c r="Z179" s="223"/>
      <c r="AA179" s="201">
        <v>215198.69</v>
      </c>
      <c r="AB179" s="223"/>
      <c r="AC179" s="201">
        <v>223405.58000000002</v>
      </c>
      <c r="AD179" s="201">
        <v>15391.97</v>
      </c>
      <c r="AE179" s="201">
        <v>208013.61000000002</v>
      </c>
      <c r="AF179" s="201">
        <v>5360.12</v>
      </c>
      <c r="AG179" s="201">
        <v>1824.96</v>
      </c>
    </row>
    <row r="180" spans="1:37" s="2" customFormat="1" ht="15" customHeight="1" x14ac:dyDescent="0.2">
      <c r="A180" s="607" t="s">
        <v>12</v>
      </c>
      <c r="B180" s="607"/>
      <c r="C180" s="607"/>
      <c r="D180" s="520"/>
      <c r="E180" s="227"/>
      <c r="F180" s="201">
        <v>216242.44999999998</v>
      </c>
      <c r="G180" s="201">
        <v>0</v>
      </c>
      <c r="H180" s="201">
        <v>216242.44999999998</v>
      </c>
      <c r="I180" s="223"/>
      <c r="J180" s="201">
        <v>7781.2500000000018</v>
      </c>
      <c r="K180" s="201">
        <v>7779.84</v>
      </c>
      <c r="L180" s="223"/>
      <c r="M180" s="201">
        <v>5258.95</v>
      </c>
      <c r="N180" s="201">
        <v>5014.6899999999996</v>
      </c>
      <c r="O180" s="223"/>
      <c r="P180" s="201">
        <v>112817.14</v>
      </c>
      <c r="Q180" s="201">
        <v>3218.4299999999994</v>
      </c>
      <c r="R180" s="201">
        <v>109598.71</v>
      </c>
      <c r="S180" s="223"/>
      <c r="T180" s="201">
        <v>93.23</v>
      </c>
      <c r="U180" s="201">
        <v>3.18</v>
      </c>
      <c r="V180" s="223"/>
      <c r="W180" s="201">
        <v>6013.1799999999994</v>
      </c>
      <c r="X180" s="201">
        <v>127.65999999999998</v>
      </c>
      <c r="Y180" s="201">
        <v>5885.5199999999995</v>
      </c>
      <c r="Z180" s="223"/>
      <c r="AA180" s="201">
        <v>357657.81999999995</v>
      </c>
      <c r="AB180" s="223"/>
      <c r="AC180" s="201">
        <v>335072.77000000008</v>
      </c>
      <c r="AD180" s="201">
        <v>3346.0899999999992</v>
      </c>
      <c r="AE180" s="201">
        <v>331726.67999999993</v>
      </c>
      <c r="AF180" s="201">
        <v>13133.43</v>
      </c>
      <c r="AG180" s="201">
        <v>12797.71</v>
      </c>
    </row>
    <row r="181" spans="1:37" s="2" customFormat="1" ht="15" customHeight="1" x14ac:dyDescent="0.2">
      <c r="A181" s="493"/>
      <c r="B181" s="493"/>
      <c r="C181" s="493"/>
      <c r="D181" s="492"/>
      <c r="E181" s="470"/>
      <c r="F181" s="170"/>
      <c r="G181" s="170"/>
      <c r="H181" s="170"/>
      <c r="J181" s="170"/>
      <c r="K181" s="170"/>
      <c r="M181" s="170"/>
      <c r="N181" s="170"/>
      <c r="P181" s="170"/>
      <c r="Q181" s="170"/>
      <c r="R181" s="170"/>
      <c r="T181" s="170"/>
      <c r="U181" s="170"/>
      <c r="W181" s="170"/>
      <c r="X181" s="170"/>
      <c r="Y181" s="170"/>
      <c r="AA181" s="170"/>
      <c r="AC181" s="170"/>
      <c r="AD181" s="170"/>
      <c r="AE181" s="170"/>
      <c r="AF181" s="170"/>
      <c r="AG181" s="170"/>
    </row>
    <row r="182" spans="1:37" x14ac:dyDescent="0.2">
      <c r="Y182" s="521"/>
      <c r="AA182" s="522"/>
      <c r="AI182"/>
      <c r="AJ182"/>
      <c r="AK182"/>
    </row>
    <row r="183" spans="1:37" s="2" customFormat="1" ht="15" customHeight="1" x14ac:dyDescent="0.2">
      <c r="A183" s="663" t="s">
        <v>574</v>
      </c>
      <c r="B183" s="663"/>
      <c r="C183" s="663"/>
      <c r="D183" s="523"/>
      <c r="E183" s="6"/>
      <c r="F183" s="524"/>
      <c r="G183" s="524"/>
      <c r="H183" s="525"/>
      <c r="I183" s="6"/>
      <c r="J183" s="6"/>
      <c r="K183" s="6"/>
      <c r="L183" s="6"/>
      <c r="M183" s="524"/>
      <c r="N183" s="524"/>
      <c r="O183" s="6"/>
      <c r="P183" s="524"/>
      <c r="Q183" s="524"/>
      <c r="R183" s="524"/>
      <c r="S183" s="6"/>
      <c r="T183" s="524"/>
      <c r="U183" s="524"/>
      <c r="V183" s="6"/>
      <c r="W183" s="524"/>
      <c r="X183" s="524"/>
      <c r="Y183" s="524"/>
      <c r="Z183" s="6"/>
      <c r="AA183" s="6"/>
      <c r="AB183" s="6"/>
      <c r="AC183" s="6"/>
      <c r="AD183" s="6"/>
      <c r="AE183" s="6"/>
      <c r="AF183" s="6"/>
      <c r="AG183" s="6"/>
    </row>
    <row r="184" spans="1:37" s="2" customFormat="1" ht="11.25" x14ac:dyDescent="0.2">
      <c r="A184" s="664" t="s">
        <v>8</v>
      </c>
      <c r="B184" s="665"/>
      <c r="C184" s="666"/>
      <c r="D184" s="523"/>
      <c r="E184" s="6"/>
      <c r="F184" s="526">
        <v>1672940</v>
      </c>
      <c r="G184" s="526">
        <v>256069.37000000002</v>
      </c>
      <c r="H184" s="526">
        <v>1416870.6300000001</v>
      </c>
      <c r="I184" s="526">
        <v>0</v>
      </c>
      <c r="J184" s="526">
        <v>48910.810000000005</v>
      </c>
      <c r="K184" s="526">
        <v>21302.940195000003</v>
      </c>
      <c r="L184" s="527"/>
      <c r="M184" s="526">
        <v>4848.5300000000007</v>
      </c>
      <c r="N184" s="526">
        <v>6032.17</v>
      </c>
      <c r="O184" s="527"/>
      <c r="P184" s="526">
        <v>257836.81999999998</v>
      </c>
      <c r="Q184" s="526">
        <v>10337.640000000001</v>
      </c>
      <c r="R184" s="526">
        <v>247499.18</v>
      </c>
      <c r="S184" s="527"/>
      <c r="T184" s="526">
        <v>476.96</v>
      </c>
      <c r="U184" s="526">
        <v>97.22999999999999</v>
      </c>
      <c r="V184" s="527"/>
      <c r="W184" s="526">
        <v>196426.46</v>
      </c>
      <c r="X184" s="526">
        <v>24499.623</v>
      </c>
      <c r="Y184" s="526">
        <v>171926.83700000009</v>
      </c>
      <c r="Z184" s="527"/>
      <c r="AA184" s="526">
        <v>1917965.2871949996</v>
      </c>
      <c r="AB184" s="526"/>
      <c r="AC184" s="526">
        <v>2127203.2800000003</v>
      </c>
      <c r="AD184" s="526">
        <v>290906.63299999991</v>
      </c>
      <c r="AE184" s="526">
        <v>1836296.6470000006</v>
      </c>
      <c r="AF184" s="526">
        <v>54236.3</v>
      </c>
      <c r="AG184" s="526">
        <v>27432.34019499999</v>
      </c>
    </row>
    <row r="185" spans="1:37" s="2" customFormat="1" ht="15" customHeight="1" x14ac:dyDescent="0.2">
      <c r="A185" s="6"/>
      <c r="B185" s="6"/>
      <c r="C185" s="6"/>
      <c r="D185" s="523"/>
      <c r="E185" s="6"/>
      <c r="F185" s="279"/>
      <c r="G185" s="279"/>
      <c r="H185" s="279"/>
      <c r="I185" s="6"/>
      <c r="J185" s="279"/>
      <c r="K185" s="279"/>
      <c r="L185" s="6"/>
      <c r="M185" s="279"/>
      <c r="N185" s="279"/>
      <c r="O185" s="6"/>
      <c r="P185" s="279"/>
      <c r="Q185" s="279"/>
      <c r="R185" s="279"/>
      <c r="S185" s="6"/>
      <c r="T185" s="279"/>
      <c r="U185" s="279"/>
      <c r="V185" s="6"/>
      <c r="W185" s="279"/>
      <c r="X185" s="279"/>
      <c r="Y185" s="279"/>
      <c r="Z185" s="6"/>
      <c r="AA185" s="279"/>
      <c r="AB185" s="6"/>
      <c r="AC185" s="6"/>
      <c r="AD185" s="6"/>
      <c r="AE185" s="6"/>
      <c r="AF185" s="6"/>
      <c r="AG185" s="6"/>
    </row>
    <row r="186" spans="1:37" s="2" customFormat="1" ht="15" customHeight="1" x14ac:dyDescent="0.2">
      <c r="A186" s="667" t="s">
        <v>9</v>
      </c>
      <c r="B186" s="667"/>
      <c r="C186" s="667"/>
      <c r="D186" s="528"/>
      <c r="E186" s="529"/>
      <c r="F186" s="214">
        <v>954985</v>
      </c>
      <c r="G186" s="214">
        <v>224687.05</v>
      </c>
      <c r="H186" s="214">
        <v>730297.95</v>
      </c>
      <c r="I186" s="6"/>
      <c r="J186" s="214">
        <v>28281.689999999991</v>
      </c>
      <c r="K186" s="214">
        <v>15371.516599999999</v>
      </c>
      <c r="L186" s="6"/>
      <c r="M186" s="214">
        <v>10.63</v>
      </c>
      <c r="N186" s="214">
        <v>0</v>
      </c>
      <c r="O186" s="6"/>
      <c r="P186" s="214">
        <v>1405.26</v>
      </c>
      <c r="Q186" s="214">
        <v>75</v>
      </c>
      <c r="R186" s="214">
        <v>1330.26</v>
      </c>
      <c r="S186" s="6"/>
      <c r="T186" s="214">
        <v>455.71</v>
      </c>
      <c r="U186" s="214">
        <v>90</v>
      </c>
      <c r="V186" s="6"/>
      <c r="W186" s="214">
        <v>135816.66999999998</v>
      </c>
      <c r="X186" s="214">
        <v>14443.043000000003</v>
      </c>
      <c r="Y186" s="214">
        <v>121373.62699999999</v>
      </c>
      <c r="Z186" s="6"/>
      <c r="AA186" s="214">
        <v>897211.38359999983</v>
      </c>
      <c r="AB186" s="6"/>
      <c r="AC186" s="214">
        <v>1092206.9299999997</v>
      </c>
      <c r="AD186" s="214">
        <v>239205.09300000002</v>
      </c>
      <c r="AE186" s="214">
        <v>853001.83699999994</v>
      </c>
      <c r="AF186" s="214">
        <v>28748.029999999995</v>
      </c>
      <c r="AG186" s="214">
        <v>15461.516599999999</v>
      </c>
    </row>
    <row r="187" spans="1:37" s="2" customFormat="1" ht="15" customHeight="1" x14ac:dyDescent="0.2">
      <c r="A187" s="667" t="s">
        <v>10</v>
      </c>
      <c r="B187" s="667"/>
      <c r="C187" s="667"/>
      <c r="D187" s="528"/>
      <c r="E187" s="529"/>
      <c r="F187" s="214">
        <v>345397</v>
      </c>
      <c r="G187" s="214">
        <v>16144</v>
      </c>
      <c r="H187" s="214">
        <v>329253</v>
      </c>
      <c r="I187" s="6"/>
      <c r="J187" s="214">
        <v>8030.7800000000007</v>
      </c>
      <c r="K187" s="214">
        <v>1489.1096000000002</v>
      </c>
      <c r="L187" s="6"/>
      <c r="M187" s="214">
        <v>53.96</v>
      </c>
      <c r="N187" s="214">
        <v>2292</v>
      </c>
      <c r="O187" s="6"/>
      <c r="P187" s="214">
        <v>74202.69</v>
      </c>
      <c r="Q187" s="214">
        <v>1767.45</v>
      </c>
      <c r="R187" s="214">
        <v>72435.240000000005</v>
      </c>
      <c r="S187" s="6"/>
      <c r="T187" s="214">
        <v>0.85000000000000042</v>
      </c>
      <c r="U187" s="214">
        <v>0</v>
      </c>
      <c r="V187" s="6"/>
      <c r="W187" s="214">
        <v>39692.5</v>
      </c>
      <c r="X187" s="214">
        <v>4513.8600000000006</v>
      </c>
      <c r="Y187" s="214">
        <v>35178.639999999999</v>
      </c>
      <c r="Z187" s="6"/>
      <c r="AA187" s="214">
        <v>448733.57959999994</v>
      </c>
      <c r="AB187" s="6"/>
      <c r="AC187" s="214">
        <v>459292.18999999994</v>
      </c>
      <c r="AD187" s="214">
        <v>22425.309999999998</v>
      </c>
      <c r="AE187" s="214">
        <v>436866.88</v>
      </c>
      <c r="AF187" s="214">
        <v>8085.59</v>
      </c>
      <c r="AG187" s="214">
        <v>3781.1095999999998</v>
      </c>
    </row>
    <row r="188" spans="1:37" s="2" customFormat="1" ht="15" customHeight="1" x14ac:dyDescent="0.2">
      <c r="A188" s="667" t="s">
        <v>11</v>
      </c>
      <c r="B188" s="667"/>
      <c r="C188" s="667"/>
      <c r="D188" s="528"/>
      <c r="E188" s="529"/>
      <c r="F188" s="214">
        <v>152742</v>
      </c>
      <c r="G188" s="214">
        <v>15238.32</v>
      </c>
      <c r="H188" s="214">
        <v>137503.67999999999</v>
      </c>
      <c r="I188" s="6"/>
      <c r="J188" s="214">
        <v>4232.2699999999995</v>
      </c>
      <c r="K188" s="214">
        <v>2988.8695879999996</v>
      </c>
      <c r="L188" s="6"/>
      <c r="M188" s="214">
        <v>2333.4599999999996</v>
      </c>
      <c r="N188" s="214">
        <v>1202.31</v>
      </c>
      <c r="O188" s="6"/>
      <c r="P188" s="214">
        <v>52942.140000000007</v>
      </c>
      <c r="Q188" s="214">
        <v>7119.1900000000005</v>
      </c>
      <c r="R188" s="214">
        <v>45822.950000000004</v>
      </c>
      <c r="S188" s="6"/>
      <c r="T188" s="214">
        <v>0</v>
      </c>
      <c r="U188" s="214">
        <v>0</v>
      </c>
      <c r="V188" s="6"/>
      <c r="W188" s="214">
        <v>13154.72</v>
      </c>
      <c r="X188" s="214">
        <v>655.34</v>
      </c>
      <c r="Y188" s="214">
        <v>12499.380000000001</v>
      </c>
      <c r="Z188" s="6"/>
      <c r="AA188" s="214">
        <v>206582.91958800002</v>
      </c>
      <c r="AB188" s="6"/>
      <c r="AC188" s="214">
        <v>218838.86</v>
      </c>
      <c r="AD188" s="214">
        <v>23012.85</v>
      </c>
      <c r="AE188" s="214">
        <v>195826.01</v>
      </c>
      <c r="AF188" s="214">
        <v>6565.73</v>
      </c>
      <c r="AG188" s="214">
        <v>4191.179588</v>
      </c>
    </row>
    <row r="189" spans="1:37" x14ac:dyDescent="0.2">
      <c r="A189" s="667" t="s">
        <v>12</v>
      </c>
      <c r="B189" s="667"/>
      <c r="C189" s="667"/>
      <c r="D189" s="528"/>
      <c r="E189" s="529"/>
      <c r="F189" s="214">
        <v>219816</v>
      </c>
      <c r="G189" s="214">
        <v>0</v>
      </c>
      <c r="H189" s="214">
        <v>219816</v>
      </c>
      <c r="I189" s="6"/>
      <c r="J189" s="214">
        <v>8366.07</v>
      </c>
      <c r="K189" s="214">
        <v>1453.4444069999997</v>
      </c>
      <c r="L189" s="6"/>
      <c r="M189" s="214">
        <v>2450.4800000000005</v>
      </c>
      <c r="N189" s="214">
        <v>2537.86</v>
      </c>
      <c r="O189" s="6"/>
      <c r="P189" s="214">
        <v>129286.73000000003</v>
      </c>
      <c r="Q189" s="214">
        <v>1376</v>
      </c>
      <c r="R189" s="214">
        <v>127910.73000000003</v>
      </c>
      <c r="S189" s="6"/>
      <c r="T189" s="214">
        <v>20.399999999999999</v>
      </c>
      <c r="U189" s="214">
        <v>7.23</v>
      </c>
      <c r="V189" s="6"/>
      <c r="W189" s="214">
        <v>7762.5700000000006</v>
      </c>
      <c r="X189" s="214">
        <v>4887.38</v>
      </c>
      <c r="Y189" s="214">
        <v>2875.19</v>
      </c>
      <c r="Z189" s="6"/>
      <c r="AA189" s="214">
        <v>365437.40440699999</v>
      </c>
      <c r="AB189" s="6"/>
      <c r="AC189" s="214">
        <v>356865.30000000005</v>
      </c>
      <c r="AD189" s="214">
        <v>6263.38</v>
      </c>
      <c r="AE189" s="214">
        <v>350601.92000000004</v>
      </c>
      <c r="AF189" s="214">
        <v>10836.949999999997</v>
      </c>
      <c r="AG189" s="214">
        <v>3998.5344069999996</v>
      </c>
      <c r="AI189"/>
      <c r="AJ189"/>
      <c r="AK189"/>
    </row>
    <row r="190" spans="1:37" x14ac:dyDescent="0.2">
      <c r="AI190"/>
      <c r="AJ190"/>
      <c r="AK190"/>
    </row>
    <row r="191" spans="1:37" x14ac:dyDescent="0.2">
      <c r="A191" s="609" t="s">
        <v>8</v>
      </c>
      <c r="B191" s="610"/>
      <c r="C191" s="611"/>
      <c r="D191" s="474"/>
      <c r="E191" s="2"/>
      <c r="F191" s="530">
        <v>1663175.49</v>
      </c>
      <c r="G191" s="530">
        <v>249215</v>
      </c>
      <c r="H191" s="530">
        <v>1413960.49</v>
      </c>
      <c r="I191" s="530">
        <v>0</v>
      </c>
      <c r="J191" s="530">
        <v>49410.109999999986</v>
      </c>
      <c r="K191" s="530">
        <v>20534.441699999999</v>
      </c>
      <c r="L191" s="531"/>
      <c r="M191" s="530">
        <v>1565.6048000000001</v>
      </c>
      <c r="N191" s="530">
        <v>4230.08</v>
      </c>
      <c r="O191" s="532"/>
      <c r="P191" s="532"/>
      <c r="Q191" s="532"/>
      <c r="R191" s="530">
        <v>234103.12</v>
      </c>
      <c r="S191" s="531"/>
      <c r="T191" s="530">
        <v>562.12</v>
      </c>
      <c r="U191" s="530">
        <v>51.04</v>
      </c>
      <c r="V191" s="532"/>
      <c r="W191" s="532"/>
      <c r="X191" s="532"/>
      <c r="Y191" s="530">
        <v>156077.06</v>
      </c>
      <c r="Z191" s="531"/>
      <c r="AA191" s="530">
        <v>1880494.0664999997</v>
      </c>
      <c r="AB191" s="2"/>
      <c r="AC191" s="4"/>
      <c r="AD191" s="2"/>
      <c r="AE191" s="2"/>
      <c r="AF191" s="2"/>
      <c r="AG191" s="2"/>
      <c r="AI191"/>
      <c r="AJ191"/>
      <c r="AK191"/>
    </row>
    <row r="192" spans="1:37" x14ac:dyDescent="0.2">
      <c r="A192" s="216"/>
      <c r="B192" s="533" t="s">
        <v>575</v>
      </c>
      <c r="C192" s="216"/>
      <c r="D192" s="474"/>
      <c r="E192" s="2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2"/>
      <c r="AC192" s="2"/>
      <c r="AD192" s="2"/>
      <c r="AE192" s="2"/>
      <c r="AF192" s="2"/>
      <c r="AG192" s="2"/>
      <c r="AI192"/>
      <c r="AJ192"/>
      <c r="AK192"/>
    </row>
    <row r="193" spans="1:37" x14ac:dyDescent="0.2">
      <c r="A193" s="612" t="s">
        <v>9</v>
      </c>
      <c r="B193" s="612"/>
      <c r="C193" s="612"/>
      <c r="D193" s="492"/>
      <c r="E193" s="470"/>
      <c r="F193" s="221">
        <v>931416</v>
      </c>
      <c r="G193" s="221">
        <v>217432</v>
      </c>
      <c r="H193" s="221">
        <v>713984</v>
      </c>
      <c r="I193" s="532"/>
      <c r="J193" s="221">
        <v>27615.420000000002</v>
      </c>
      <c r="K193" s="221">
        <v>14195.404500000002</v>
      </c>
      <c r="L193" s="532"/>
      <c r="M193" s="221">
        <v>6.76</v>
      </c>
      <c r="N193" s="221">
        <v>0</v>
      </c>
      <c r="O193" s="532"/>
      <c r="P193" s="532"/>
      <c r="Q193" s="532"/>
      <c r="R193" s="221">
        <v>5092.6499999999996</v>
      </c>
      <c r="S193" s="532"/>
      <c r="T193" s="221">
        <v>148.6</v>
      </c>
      <c r="U193" s="221">
        <v>40</v>
      </c>
      <c r="V193" s="532"/>
      <c r="W193" s="532"/>
      <c r="X193" s="532"/>
      <c r="Y193" s="221">
        <v>110151.77000000002</v>
      </c>
      <c r="Z193" s="532"/>
      <c r="AA193" s="221">
        <v>871234.6044999999</v>
      </c>
      <c r="AB193" s="2"/>
      <c r="AC193" s="2"/>
      <c r="AD193" s="2"/>
      <c r="AE193" s="2"/>
      <c r="AF193" s="2"/>
      <c r="AG193" s="2"/>
      <c r="AI193"/>
      <c r="AJ193"/>
      <c r="AK193"/>
    </row>
    <row r="194" spans="1:37" x14ac:dyDescent="0.2">
      <c r="A194" s="612" t="s">
        <v>10</v>
      </c>
      <c r="B194" s="612"/>
      <c r="C194" s="612"/>
      <c r="D194" s="492"/>
      <c r="E194" s="470"/>
      <c r="F194" s="221">
        <v>338443</v>
      </c>
      <c r="G194" s="221">
        <v>17400</v>
      </c>
      <c r="H194" s="221">
        <v>321043</v>
      </c>
      <c r="I194" s="532"/>
      <c r="J194" s="221">
        <v>8480.619999999999</v>
      </c>
      <c r="K194" s="221">
        <v>1094.6100000000001</v>
      </c>
      <c r="L194" s="532"/>
      <c r="M194" s="221">
        <v>112.06</v>
      </c>
      <c r="N194" s="221">
        <v>0</v>
      </c>
      <c r="O194" s="532"/>
      <c r="P194" s="532"/>
      <c r="Q194" s="532"/>
      <c r="R194" s="221">
        <v>40373.649999999994</v>
      </c>
      <c r="S194" s="532"/>
      <c r="T194" s="221">
        <v>4.5199999999999996</v>
      </c>
      <c r="U194" s="221">
        <v>0</v>
      </c>
      <c r="V194" s="532"/>
      <c r="W194" s="532"/>
      <c r="X194" s="532"/>
      <c r="Y194" s="221">
        <v>37986.879999999997</v>
      </c>
      <c r="Z194" s="532"/>
      <c r="AA194" s="221">
        <v>409095.33999999991</v>
      </c>
      <c r="AB194" s="2"/>
      <c r="AC194" s="2"/>
      <c r="AD194" s="2"/>
      <c r="AE194" s="2"/>
      <c r="AF194" s="2"/>
      <c r="AG194" s="2"/>
      <c r="AI194"/>
      <c r="AJ194"/>
      <c r="AK194"/>
    </row>
    <row r="195" spans="1:37" x14ac:dyDescent="0.2">
      <c r="A195" s="612" t="s">
        <v>11</v>
      </c>
      <c r="B195" s="612"/>
      <c r="C195" s="612"/>
      <c r="D195" s="492"/>
      <c r="E195" s="470"/>
      <c r="F195" s="221">
        <v>156710</v>
      </c>
      <c r="G195" s="221">
        <v>14383</v>
      </c>
      <c r="H195" s="221">
        <v>142327</v>
      </c>
      <c r="I195" s="532"/>
      <c r="J195" s="221">
        <v>5299.4299999999994</v>
      </c>
      <c r="K195" s="221">
        <v>2417.7972</v>
      </c>
      <c r="L195" s="532"/>
      <c r="M195" s="221">
        <v>119.53999999999999</v>
      </c>
      <c r="N195" s="221">
        <v>1288.3400000000001</v>
      </c>
      <c r="O195" s="532"/>
      <c r="P195" s="532"/>
      <c r="Q195" s="532"/>
      <c r="R195" s="221">
        <v>65635.37</v>
      </c>
      <c r="S195" s="532"/>
      <c r="T195" s="221">
        <v>340</v>
      </c>
      <c r="U195" s="221">
        <v>0</v>
      </c>
      <c r="V195" s="532"/>
      <c r="W195" s="532"/>
      <c r="X195" s="532"/>
      <c r="Y195" s="221">
        <v>5080.62</v>
      </c>
      <c r="Z195" s="532"/>
      <c r="AA195" s="221">
        <v>222508.09719999996</v>
      </c>
      <c r="AB195" s="2"/>
      <c r="AC195" s="2"/>
      <c r="AD195" s="2"/>
      <c r="AE195" s="2"/>
      <c r="AF195" s="2"/>
      <c r="AG195" s="2"/>
      <c r="AI195"/>
      <c r="AJ195"/>
      <c r="AK195"/>
    </row>
    <row r="196" spans="1:37" x14ac:dyDescent="0.2">
      <c r="A196" s="612" t="s">
        <v>12</v>
      </c>
      <c r="B196" s="612"/>
      <c r="C196" s="612"/>
      <c r="D196" s="492"/>
      <c r="E196" s="470"/>
      <c r="F196" s="221">
        <v>236606.49</v>
      </c>
      <c r="G196" s="221">
        <v>0</v>
      </c>
      <c r="H196" s="221">
        <v>236606.49</v>
      </c>
      <c r="I196" s="532"/>
      <c r="J196" s="221">
        <v>8014.6399999999985</v>
      </c>
      <c r="K196" s="221">
        <v>2826.63</v>
      </c>
      <c r="L196" s="532"/>
      <c r="M196" s="221">
        <v>1327.2448000000002</v>
      </c>
      <c r="N196" s="221">
        <v>2941.74</v>
      </c>
      <c r="O196" s="532"/>
      <c r="P196" s="532"/>
      <c r="Q196" s="532"/>
      <c r="R196" s="221">
        <v>123001.45000000001</v>
      </c>
      <c r="S196" s="532"/>
      <c r="T196" s="221">
        <v>69</v>
      </c>
      <c r="U196" s="221">
        <v>11.04</v>
      </c>
      <c r="V196" s="532"/>
      <c r="W196" s="532"/>
      <c r="X196" s="532"/>
      <c r="Y196" s="221">
        <v>2857.7900000000004</v>
      </c>
      <c r="Z196" s="532"/>
      <c r="AA196" s="221">
        <v>377656.02479999996</v>
      </c>
      <c r="AB196" s="2"/>
      <c r="AC196" s="2"/>
      <c r="AD196" s="2"/>
      <c r="AE196" s="2"/>
      <c r="AF196" s="2"/>
      <c r="AG196" s="2"/>
      <c r="AI196"/>
      <c r="AJ196"/>
      <c r="AK196"/>
    </row>
    <row r="197" spans="1:37" x14ac:dyDescent="0.2">
      <c r="AI197"/>
      <c r="AJ197"/>
      <c r="AK197"/>
    </row>
    <row r="198" spans="1:37" x14ac:dyDescent="0.2">
      <c r="A198" s="613" t="s">
        <v>8</v>
      </c>
      <c r="B198" s="614"/>
      <c r="C198" s="615"/>
      <c r="D198" s="474"/>
      <c r="E198" s="2"/>
      <c r="F198" s="224">
        <v>1634173</v>
      </c>
      <c r="G198" s="224">
        <v>236212.06</v>
      </c>
      <c r="H198" s="224">
        <v>1397960.9399999997</v>
      </c>
      <c r="I198" s="519"/>
      <c r="J198" s="224">
        <v>52696.463388557982</v>
      </c>
      <c r="K198" s="224">
        <v>15837.071549456672</v>
      </c>
      <c r="L198" s="519"/>
      <c r="M198" s="224">
        <v>4875.1100000000006</v>
      </c>
      <c r="N198" s="224">
        <v>14505.73</v>
      </c>
      <c r="O198" s="534"/>
      <c r="P198" s="535"/>
      <c r="Q198" s="535"/>
      <c r="R198" s="224">
        <v>214055.74999999997</v>
      </c>
      <c r="S198" s="519"/>
      <c r="T198" s="224">
        <v>261.70000000000005</v>
      </c>
      <c r="U198" s="224">
        <v>4883.13</v>
      </c>
      <c r="V198" s="534"/>
      <c r="W198" s="534"/>
      <c r="X198" s="534"/>
      <c r="Y198" s="224">
        <v>152558.62999999995</v>
      </c>
      <c r="Z198" s="519"/>
      <c r="AA198" s="224">
        <v>1857634.5249380141</v>
      </c>
      <c r="AI198"/>
      <c r="AJ198"/>
      <c r="AK198"/>
    </row>
    <row r="199" spans="1:37" x14ac:dyDescent="0.2">
      <c r="A199" s="223"/>
      <c r="B199" s="536" t="s">
        <v>576</v>
      </c>
      <c r="C199" s="223"/>
      <c r="D199" s="474"/>
      <c r="E199" s="2"/>
      <c r="F199"/>
      <c r="G199"/>
      <c r="H199"/>
      <c r="M199"/>
      <c r="N199"/>
      <c r="P199"/>
      <c r="Q199"/>
      <c r="R199"/>
      <c r="AI199"/>
      <c r="AJ199"/>
      <c r="AK199"/>
    </row>
    <row r="200" spans="1:37" x14ac:dyDescent="0.2">
      <c r="A200" s="607" t="s">
        <v>9</v>
      </c>
      <c r="B200" s="607"/>
      <c r="C200" s="607"/>
      <c r="D200" s="492"/>
      <c r="E200" s="470"/>
      <c r="F200" s="201">
        <v>908411</v>
      </c>
      <c r="G200" s="201">
        <v>207644.21999999997</v>
      </c>
      <c r="H200" s="201">
        <v>700766.78</v>
      </c>
      <c r="I200" s="223"/>
      <c r="J200" s="201">
        <v>29173.361163017969</v>
      </c>
      <c r="K200" s="201">
        <v>9690.5876320757288</v>
      </c>
      <c r="L200" s="223"/>
      <c r="M200" s="201">
        <v>200.34</v>
      </c>
      <c r="N200" s="201">
        <v>0</v>
      </c>
      <c r="O200" s="534"/>
      <c r="P200" s="535"/>
      <c r="Q200" s="535"/>
      <c r="R200" s="201">
        <v>866</v>
      </c>
      <c r="S200" s="223"/>
      <c r="T200" s="201">
        <v>154.9</v>
      </c>
      <c r="U200" s="201">
        <v>0</v>
      </c>
      <c r="V200" s="534"/>
      <c r="W200" s="534"/>
      <c r="X200" s="534"/>
      <c r="Y200" s="201">
        <v>106489.43</v>
      </c>
      <c r="Z200" s="223"/>
      <c r="AA200" s="201">
        <v>847341.39879509364</v>
      </c>
    </row>
    <row r="201" spans="1:37" x14ac:dyDescent="0.2">
      <c r="A201" s="607" t="s">
        <v>10</v>
      </c>
      <c r="B201" s="607"/>
      <c r="C201" s="607"/>
      <c r="D201" s="492"/>
      <c r="E201" s="470"/>
      <c r="F201" s="201">
        <v>343939</v>
      </c>
      <c r="G201" s="201">
        <v>16533</v>
      </c>
      <c r="H201" s="201">
        <v>327406</v>
      </c>
      <c r="I201" s="223"/>
      <c r="J201" s="201">
        <v>8531.2000000000007</v>
      </c>
      <c r="K201" s="201">
        <v>893.14213390212626</v>
      </c>
      <c r="L201" s="223"/>
      <c r="M201" s="201">
        <v>125.30000000000001</v>
      </c>
      <c r="N201" s="201">
        <v>4605</v>
      </c>
      <c r="O201" s="534"/>
      <c r="P201" s="535"/>
      <c r="Q201" s="535"/>
      <c r="R201" s="201">
        <v>58539.82</v>
      </c>
      <c r="S201" s="223"/>
      <c r="T201" s="201">
        <v>12.75</v>
      </c>
      <c r="U201" s="201">
        <v>0</v>
      </c>
      <c r="V201" s="534"/>
      <c r="W201" s="534"/>
      <c r="X201" s="534"/>
      <c r="Y201" s="201">
        <v>29601.11</v>
      </c>
      <c r="Z201" s="223"/>
      <c r="AA201" s="201">
        <v>429714.32213390217</v>
      </c>
    </row>
    <row r="202" spans="1:37" x14ac:dyDescent="0.2">
      <c r="A202" s="607" t="s">
        <v>11</v>
      </c>
      <c r="B202" s="607"/>
      <c r="C202" s="607"/>
      <c r="D202" s="492"/>
      <c r="E202" s="470"/>
      <c r="F202" s="201">
        <v>152693</v>
      </c>
      <c r="G202" s="201">
        <v>12034.84</v>
      </c>
      <c r="H202" s="201">
        <v>140658.15999999997</v>
      </c>
      <c r="I202" s="223"/>
      <c r="J202" s="201">
        <v>5528.6535935571228</v>
      </c>
      <c r="K202" s="201">
        <v>2554.8004232045778</v>
      </c>
      <c r="L202" s="223"/>
      <c r="M202" s="201">
        <v>687.03</v>
      </c>
      <c r="N202" s="201">
        <v>1139.8800000000001</v>
      </c>
      <c r="O202" s="534"/>
      <c r="P202" s="535"/>
      <c r="Q202" s="535"/>
      <c r="R202" s="201">
        <v>55420.409999999996</v>
      </c>
      <c r="S202" s="223"/>
      <c r="T202" s="201">
        <v>8.0299999999999994</v>
      </c>
      <c r="U202" s="201">
        <v>0</v>
      </c>
      <c r="V202" s="534"/>
      <c r="W202" s="534"/>
      <c r="X202" s="534"/>
      <c r="Y202" s="201">
        <v>8999.0300000000007</v>
      </c>
      <c r="Z202" s="223"/>
      <c r="AA202" s="201">
        <v>214995.99401676172</v>
      </c>
    </row>
    <row r="203" spans="1:37" x14ac:dyDescent="0.2">
      <c r="A203" s="607" t="s">
        <v>12</v>
      </c>
      <c r="B203" s="607"/>
      <c r="C203" s="607"/>
      <c r="D203" s="492"/>
      <c r="E203" s="470"/>
      <c r="F203" s="201">
        <v>229130</v>
      </c>
      <c r="G203" s="201">
        <v>0</v>
      </c>
      <c r="H203" s="201">
        <v>229130</v>
      </c>
      <c r="I203" s="223"/>
      <c r="J203" s="201">
        <v>9463.2486319828713</v>
      </c>
      <c r="K203" s="201">
        <v>2698.5413602742387</v>
      </c>
      <c r="L203" s="223"/>
      <c r="M203" s="201">
        <v>3862.44</v>
      </c>
      <c r="N203" s="201">
        <v>8760.85</v>
      </c>
      <c r="O203" s="534"/>
      <c r="P203" s="535"/>
      <c r="Q203" s="535"/>
      <c r="R203" s="201">
        <v>99229.51999999999</v>
      </c>
      <c r="S203" s="223"/>
      <c r="T203" s="201">
        <v>86.02</v>
      </c>
      <c r="U203" s="201">
        <v>4883.13</v>
      </c>
      <c r="V203" s="534"/>
      <c r="W203" s="534"/>
      <c r="X203" s="534"/>
      <c r="Y203" s="201">
        <v>7469.06</v>
      </c>
      <c r="Z203" s="223"/>
      <c r="AA203" s="201">
        <v>365582.80999225716</v>
      </c>
    </row>
  </sheetData>
  <mergeCells count="60">
    <mergeCell ref="A1:AG1"/>
    <mergeCell ref="F3:H3"/>
    <mergeCell ref="J3:K3"/>
    <mergeCell ref="M3:R3"/>
    <mergeCell ref="T3:Y3"/>
    <mergeCell ref="AA3:AA4"/>
    <mergeCell ref="AC3:AE3"/>
    <mergeCell ref="A147:C147"/>
    <mergeCell ref="AI3:AK3"/>
    <mergeCell ref="A134:C134"/>
    <mergeCell ref="A135:C135"/>
    <mergeCell ref="A137:C137"/>
    <mergeCell ref="A138:C138"/>
    <mergeCell ref="A139:C139"/>
    <mergeCell ref="A140:C140"/>
    <mergeCell ref="A142:C142"/>
    <mergeCell ref="A143:C143"/>
    <mergeCell ref="A145:C145"/>
    <mergeCell ref="A146:C146"/>
    <mergeCell ref="A163:C163"/>
    <mergeCell ref="A148:C148"/>
    <mergeCell ref="A150:C150"/>
    <mergeCell ref="A151:C151"/>
    <mergeCell ref="A153:C153"/>
    <mergeCell ref="A154:C154"/>
    <mergeCell ref="A155:C155"/>
    <mergeCell ref="A156:C156"/>
    <mergeCell ref="A158:C158"/>
    <mergeCell ref="A159:C159"/>
    <mergeCell ref="A161:C161"/>
    <mergeCell ref="A162:C162"/>
    <mergeCell ref="A179:C179"/>
    <mergeCell ref="A164:C164"/>
    <mergeCell ref="A166:C166"/>
    <mergeCell ref="A167:C167"/>
    <mergeCell ref="A169:C169"/>
    <mergeCell ref="A170:C170"/>
    <mergeCell ref="A171:C171"/>
    <mergeCell ref="A172:C172"/>
    <mergeCell ref="A174:C174"/>
    <mergeCell ref="A175:C175"/>
    <mergeCell ref="A177:C177"/>
    <mergeCell ref="A178:C178"/>
    <mergeCell ref="A196:C196"/>
    <mergeCell ref="A180:C180"/>
    <mergeCell ref="A183:C183"/>
    <mergeCell ref="A184:C184"/>
    <mergeCell ref="A186:C186"/>
    <mergeCell ref="A187:C187"/>
    <mergeCell ref="A188:C188"/>
    <mergeCell ref="A189:C189"/>
    <mergeCell ref="A191:C191"/>
    <mergeCell ref="A193:C193"/>
    <mergeCell ref="A194:C194"/>
    <mergeCell ref="A195:C195"/>
    <mergeCell ref="A198:C198"/>
    <mergeCell ref="A200:C200"/>
    <mergeCell ref="A201:C201"/>
    <mergeCell ref="A202:C202"/>
    <mergeCell ref="A203:C203"/>
  </mergeCells>
  <hyperlinks>
    <hyperlink ref="D63" location="'2009-10'!A160" display="Bottom" xr:uid="{6F3F5E70-4BE7-4F79-A903-0262924B73B6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9618E-B009-4DEC-BC4F-ECA0E19BE257}">
  <dimension ref="A1:AL174"/>
  <sheetViews>
    <sheetView workbookViewId="0">
      <pane xSplit="3" ySplit="4" topLeftCell="D112" activePane="bottomRight" state="frozen"/>
      <selection pane="topRight" activeCell="D1" sqref="D1"/>
      <selection pane="bottomLeft" activeCell="A5" sqref="A5"/>
      <selection pane="bottomRight" activeCell="F138" sqref="F138:T138"/>
    </sheetView>
  </sheetViews>
  <sheetFormatPr defaultRowHeight="12.75" x14ac:dyDescent="0.2"/>
  <cols>
    <col min="1" max="1" width="8" bestFit="1" customWidth="1"/>
    <col min="2" max="2" width="26" bestFit="1" customWidth="1"/>
    <col min="3" max="3" width="15.42578125" bestFit="1" customWidth="1"/>
    <col min="4" max="4" width="3" customWidth="1"/>
    <col min="5" max="5" width="0.85546875" style="469" customWidth="1"/>
    <col min="6" max="6" width="10.140625" customWidth="1"/>
    <col min="7" max="8" width="8.7109375" bestFit="1" customWidth="1"/>
    <col min="9" max="9" width="3" style="5" bestFit="1" customWidth="1"/>
    <col min="10" max="10" width="0.85546875" style="422" customWidth="1"/>
    <col min="11" max="11" width="9" bestFit="1" customWidth="1"/>
    <col min="12" max="13" width="8.7109375" bestFit="1" customWidth="1"/>
    <col min="14" max="14" width="0.85546875" style="469" customWidth="1"/>
    <col min="15" max="15" width="10.28515625" style="5" bestFit="1" customWidth="1"/>
    <col min="16" max="17" width="8.28515625" style="5" customWidth="1"/>
    <col min="18" max="18" width="8.7109375" style="5" bestFit="1" customWidth="1"/>
    <col min="19" max="19" width="9" bestFit="1" customWidth="1"/>
    <col min="20" max="20" width="8.140625" bestFit="1" customWidth="1"/>
    <col min="21" max="21" width="1.7109375" customWidth="1"/>
    <col min="22" max="22" width="9" style="358" bestFit="1" customWidth="1"/>
    <col min="25" max="25" width="10.7109375" bestFit="1" customWidth="1"/>
    <col min="26" max="26" width="10.28515625" bestFit="1" customWidth="1"/>
    <col min="27" max="27" width="2.7109375" style="2" bestFit="1" customWidth="1"/>
    <col min="29" max="29" width="9.5703125" bestFit="1" customWidth="1"/>
    <col min="31" max="31" width="9.5703125" bestFit="1" customWidth="1"/>
    <col min="33" max="33" width="3" bestFit="1" customWidth="1"/>
    <col min="34" max="34" width="10" style="2" bestFit="1" customWidth="1"/>
    <col min="35" max="35" width="10" style="2" customWidth="1"/>
    <col min="36" max="36" width="9.140625" style="2"/>
    <col min="37" max="37" width="9.28515625" style="2" bestFit="1" customWidth="1"/>
  </cols>
  <sheetData>
    <row r="1" spans="1:38" s="237" customFormat="1" ht="15.75" x14ac:dyDescent="0.25">
      <c r="B1" s="337" t="s">
        <v>700</v>
      </c>
      <c r="C1" s="337"/>
      <c r="D1" s="337"/>
      <c r="E1" s="337"/>
      <c r="F1" s="337"/>
      <c r="G1" s="337"/>
      <c r="H1" s="338"/>
      <c r="I1" s="339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V1" s="340"/>
      <c r="AA1" s="341"/>
      <c r="AH1" s="341"/>
      <c r="AI1" s="341"/>
      <c r="AJ1" s="341"/>
      <c r="AK1" s="341"/>
    </row>
    <row r="2" spans="1:38" s="344" customFormat="1" ht="12.75" customHeight="1" x14ac:dyDescent="0.2">
      <c r="A2" s="342"/>
      <c r="B2" s="343"/>
      <c r="C2" s="343"/>
      <c r="D2" s="343"/>
      <c r="F2" s="345"/>
      <c r="G2" s="344" t="s">
        <v>701</v>
      </c>
      <c r="I2" s="346"/>
      <c r="J2" s="347"/>
      <c r="K2" s="345"/>
      <c r="L2" s="344" t="s">
        <v>702</v>
      </c>
      <c r="M2" s="348"/>
      <c r="O2" s="702" t="s">
        <v>703</v>
      </c>
      <c r="P2" s="703"/>
      <c r="Q2" s="703"/>
      <c r="R2" s="703"/>
      <c r="S2" s="703"/>
      <c r="T2" s="704"/>
      <c r="V2" s="349"/>
      <c r="W2" s="705" t="s">
        <v>704</v>
      </c>
      <c r="X2" s="706"/>
      <c r="Y2" s="706"/>
      <c r="Z2" s="707"/>
      <c r="AB2" s="708" t="s">
        <v>705</v>
      </c>
      <c r="AC2" s="709"/>
      <c r="AD2" s="709"/>
      <c r="AE2" s="709"/>
      <c r="AF2" s="710"/>
    </row>
    <row r="3" spans="1:38" ht="33.75" x14ac:dyDescent="0.25">
      <c r="A3" s="350"/>
      <c r="B3" s="239" t="s">
        <v>181</v>
      </c>
      <c r="C3" s="351"/>
      <c r="D3" s="352"/>
      <c r="E3" s="353"/>
      <c r="F3" s="354" t="s">
        <v>545</v>
      </c>
      <c r="G3" s="354"/>
      <c r="H3" s="355"/>
      <c r="I3" s="356"/>
      <c r="J3" s="357"/>
      <c r="K3" s="691" t="s">
        <v>664</v>
      </c>
      <c r="L3" s="691"/>
      <c r="M3" s="692"/>
      <c r="N3" s="353"/>
      <c r="O3" s="693" t="s">
        <v>544</v>
      </c>
      <c r="P3" s="693"/>
      <c r="Q3" s="693"/>
      <c r="R3" s="693"/>
      <c r="S3" s="693"/>
      <c r="T3" s="693"/>
      <c r="W3" s="359" t="s">
        <v>706</v>
      </c>
      <c r="X3" s="360" t="s">
        <v>707</v>
      </c>
      <c r="Y3" s="361" t="s">
        <v>708</v>
      </c>
      <c r="Z3" s="361" t="s">
        <v>709</v>
      </c>
      <c r="AC3" s="359" t="s">
        <v>706</v>
      </c>
      <c r="AD3" s="360" t="s">
        <v>707</v>
      </c>
      <c r="AE3" s="361" t="s">
        <v>708</v>
      </c>
      <c r="AF3" s="361" t="s">
        <v>709</v>
      </c>
    </row>
    <row r="4" spans="1:38" ht="74.25" x14ac:dyDescent="0.2">
      <c r="A4" s="7" t="s">
        <v>39</v>
      </c>
      <c r="B4" s="33" t="s">
        <v>40</v>
      </c>
      <c r="C4" s="32" t="s">
        <v>15</v>
      </c>
      <c r="D4" s="34" t="s">
        <v>5</v>
      </c>
      <c r="E4" s="353"/>
      <c r="F4" s="362" t="s">
        <v>710</v>
      </c>
      <c r="G4" s="363" t="s">
        <v>711</v>
      </c>
      <c r="H4" s="364" t="s">
        <v>712</v>
      </c>
      <c r="I4" s="365" t="s">
        <v>713</v>
      </c>
      <c r="J4" s="366"/>
      <c r="K4" s="367" t="s">
        <v>710</v>
      </c>
      <c r="L4" s="368" t="s">
        <v>711</v>
      </c>
      <c r="M4" s="369" t="s">
        <v>712</v>
      </c>
      <c r="N4" s="353"/>
      <c r="O4" s="370" t="s">
        <v>714</v>
      </c>
      <c r="P4" s="371" t="s">
        <v>711</v>
      </c>
      <c r="Q4" s="372" t="s">
        <v>712</v>
      </c>
      <c r="R4" s="373" t="s">
        <v>715</v>
      </c>
      <c r="S4" s="374" t="s">
        <v>711</v>
      </c>
      <c r="T4" s="375" t="s">
        <v>712</v>
      </c>
      <c r="V4" s="376" t="s">
        <v>716</v>
      </c>
      <c r="W4" s="698" t="s">
        <v>717</v>
      </c>
      <c r="X4" s="699"/>
      <c r="Y4" s="699"/>
      <c r="Z4" s="699"/>
      <c r="AA4" s="377" t="s">
        <v>718</v>
      </c>
      <c r="AB4" s="378" t="s">
        <v>719</v>
      </c>
      <c r="AC4" s="700" t="s">
        <v>720</v>
      </c>
      <c r="AD4" s="701"/>
      <c r="AE4" s="701"/>
      <c r="AF4" s="701"/>
      <c r="AG4" s="379" t="s">
        <v>666</v>
      </c>
      <c r="AH4" s="380" t="s">
        <v>721</v>
      </c>
      <c r="AI4" s="380" t="s">
        <v>722</v>
      </c>
      <c r="AJ4" s="380" t="s">
        <v>723</v>
      </c>
      <c r="AK4" s="374" t="s">
        <v>711</v>
      </c>
      <c r="AL4" s="375" t="s">
        <v>712</v>
      </c>
    </row>
    <row r="5" spans="1:38" x14ac:dyDescent="0.2">
      <c r="A5" s="9">
        <v>10050</v>
      </c>
      <c r="B5" s="9" t="s">
        <v>78</v>
      </c>
      <c r="C5" s="9" t="s">
        <v>73</v>
      </c>
      <c r="D5" s="29" t="s">
        <v>1</v>
      </c>
      <c r="E5" s="381"/>
      <c r="F5" s="382">
        <f>'App 6 - Residual Waste'!F5</f>
        <v>7117.6</v>
      </c>
      <c r="G5" s="383">
        <f t="shared" ref="G5:G68" si="0">(F5*1000)/W5/52</f>
        <v>5.6927683861638281</v>
      </c>
      <c r="H5" s="384">
        <f t="shared" ref="H5:H68" si="1">(F5*1000)/AC5/52</f>
        <v>2.6179186268439882</v>
      </c>
      <c r="I5" s="385"/>
      <c r="J5" s="386"/>
      <c r="K5" s="387">
        <f>'App 4 - Recyclables'!F5</f>
        <v>4710</v>
      </c>
      <c r="L5" s="388">
        <f>(K5*1000)/X5/52</f>
        <v>3.5794081437234961</v>
      </c>
      <c r="M5" s="388">
        <f>(K5*1000)/AD5/52</f>
        <v>1.6460531356423844</v>
      </c>
      <c r="N5" s="381"/>
      <c r="O5" s="389">
        <f>'App 5 - Organics'!F5</f>
        <v>0</v>
      </c>
      <c r="P5" s="390"/>
      <c r="Q5" s="391"/>
      <c r="R5" s="392">
        <f>'App 5 - Organics'!J5</f>
        <v>11959</v>
      </c>
      <c r="S5" s="393">
        <f>(R5*1000)/Z5/52</f>
        <v>9.0836862797523192</v>
      </c>
      <c r="T5" s="394">
        <f>(R5*1000)/AF5/52</f>
        <v>4.1772912402283033</v>
      </c>
      <c r="V5" s="395">
        <f>'App 1 - Services'!G5</f>
        <v>25318</v>
      </c>
      <c r="W5" s="396">
        <f>'App 1 - Services'!M5</f>
        <v>24044</v>
      </c>
      <c r="X5" s="397">
        <f>'App 1 - Services'!N5</f>
        <v>25305</v>
      </c>
      <c r="Y5" s="398">
        <f>'App 1 - Services'!O5</f>
        <v>0</v>
      </c>
      <c r="Z5" s="392">
        <f>'App 1 - Services'!P5</f>
        <v>25318</v>
      </c>
      <c r="AB5" s="399">
        <f>'App 1 - Services'!F5</f>
        <v>55055</v>
      </c>
      <c r="AC5" s="396">
        <f t="shared" ref="AC5:AF5" si="2">(W5/$V5)*$AB5</f>
        <v>52284.636227190145</v>
      </c>
      <c r="AD5" s="397">
        <f t="shared" si="2"/>
        <v>55026.730981910106</v>
      </c>
      <c r="AE5" s="398">
        <f t="shared" si="2"/>
        <v>0</v>
      </c>
      <c r="AF5" s="392">
        <f t="shared" si="2"/>
        <v>55055</v>
      </c>
      <c r="AG5" s="400" t="s">
        <v>14</v>
      </c>
      <c r="AH5" s="401">
        <f t="shared" ref="AH5:AH68" si="3">Y5+Z5</f>
        <v>25318</v>
      </c>
      <c r="AI5" s="401">
        <f t="shared" ref="AI5:AI68" si="4">AE5+AF5</f>
        <v>55055</v>
      </c>
      <c r="AJ5" s="401">
        <f t="shared" ref="AJ5:AJ68" si="5">O5+R5</f>
        <v>11959</v>
      </c>
      <c r="AK5" s="393"/>
      <c r="AL5" s="394">
        <f>(AJ5*1000)/AF5/52</f>
        <v>4.1772912402283033</v>
      </c>
    </row>
    <row r="6" spans="1:38" x14ac:dyDescent="0.2">
      <c r="A6" s="8">
        <v>10130</v>
      </c>
      <c r="B6" s="8" t="s">
        <v>79</v>
      </c>
      <c r="C6" s="8" t="s">
        <v>17</v>
      </c>
      <c r="D6" s="29" t="s">
        <v>1</v>
      </c>
      <c r="E6" s="381"/>
      <c r="F6" s="382">
        <f>'App 6 - Residual Waste'!F6</f>
        <v>5152.8999999999996</v>
      </c>
      <c r="G6" s="383">
        <f t="shared" si="0"/>
        <v>9.2300885589820023</v>
      </c>
      <c r="H6" s="384">
        <f t="shared" si="1"/>
        <v>4.0047596737193656</v>
      </c>
      <c r="I6" s="385"/>
      <c r="J6" s="386"/>
      <c r="K6" s="387">
        <f>'App 4 - Recyclables'!F6</f>
        <v>3367.4</v>
      </c>
      <c r="L6" s="388">
        <f t="shared" ref="L6:L69" si="6">(K6*1000)/X6/52</f>
        <v>6.1556741737350098</v>
      </c>
      <c r="M6" s="388">
        <f t="shared" ref="M6:M69" si="7">(K6*1000)/AD6/52</f>
        <v>2.670829812520092</v>
      </c>
      <c r="N6" s="381"/>
      <c r="O6" s="389">
        <f>'App 5 - Organics'!F6</f>
        <v>0</v>
      </c>
      <c r="P6" s="390"/>
      <c r="Q6" s="391"/>
      <c r="R6" s="392">
        <f>'App 5 - Organics'!J6</f>
        <v>2505.8000000000002</v>
      </c>
      <c r="S6" s="393">
        <f t="shared" ref="S6:S69" si="8">(R6*1000)/Z6/52</f>
        <v>4.512028233938346</v>
      </c>
      <c r="T6" s="394">
        <f t="shared" ref="T6:T69" si="9">(R6*1000)/AF6/52</f>
        <v>1.9576831362441895</v>
      </c>
      <c r="V6" s="395">
        <f>'App 1 - Services'!G6</f>
        <v>12888</v>
      </c>
      <c r="W6" s="396">
        <f>'App 1 - Services'!M6</f>
        <v>10736</v>
      </c>
      <c r="X6" s="397">
        <f>'App 1 - Services'!N6</f>
        <v>10520</v>
      </c>
      <c r="Y6" s="398">
        <f>'App 1 - Services'!O6</f>
        <v>0</v>
      </c>
      <c r="Z6" s="392">
        <f>'App 1 - Services'!P6</f>
        <v>10680</v>
      </c>
      <c r="AB6" s="399">
        <f>'App 1 - Services'!F6</f>
        <v>29704</v>
      </c>
      <c r="AC6" s="396">
        <f t="shared" ref="AC6:AC69" si="10">(W6/$V6)*$AB6</f>
        <v>24744.114214773432</v>
      </c>
      <c r="AD6" s="397">
        <f t="shared" ref="AD6:AD69" si="11">(X6/$V6)*$AB6</f>
        <v>24246.281812538797</v>
      </c>
      <c r="AE6" s="398">
        <f t="shared" ref="AE6:AE69" si="12">(Y6/$V6)*$AB6</f>
        <v>0</v>
      </c>
      <c r="AF6" s="392">
        <f t="shared" ref="AF6:AF69" si="13">(Z6/$V6)*$AB6</f>
        <v>24615.046554934823</v>
      </c>
      <c r="AG6" s="400" t="s">
        <v>14</v>
      </c>
      <c r="AH6" s="401">
        <f t="shared" si="3"/>
        <v>10680</v>
      </c>
      <c r="AI6" s="401">
        <f t="shared" si="4"/>
        <v>24615.046554934823</v>
      </c>
      <c r="AJ6" s="401">
        <f t="shared" si="5"/>
        <v>2505.8000000000002</v>
      </c>
      <c r="AK6" s="393"/>
      <c r="AL6" s="394">
        <f>(AJ6*1000)/AF6/52</f>
        <v>1.9576831362441895</v>
      </c>
    </row>
    <row r="7" spans="1:38" x14ac:dyDescent="0.2">
      <c r="A7" s="8">
        <v>10250</v>
      </c>
      <c r="B7" s="8" t="s">
        <v>80</v>
      </c>
      <c r="C7" s="8" t="s">
        <v>20</v>
      </c>
      <c r="D7" s="29" t="s">
        <v>4</v>
      </c>
      <c r="E7" s="381"/>
      <c r="F7" s="382">
        <f>'App 6 - Residual Waste'!F7</f>
        <v>8227.02</v>
      </c>
      <c r="G7" s="383">
        <f t="shared" si="0"/>
        <v>8.4424718824398646</v>
      </c>
      <c r="H7" s="384">
        <f t="shared" si="1"/>
        <v>3.7196391808825662</v>
      </c>
      <c r="I7" s="385"/>
      <c r="J7" s="386"/>
      <c r="K7" s="387">
        <f>'App 4 - Recyclables'!F7</f>
        <v>4288.5600000000004</v>
      </c>
      <c r="L7" s="388">
        <f t="shared" si="6"/>
        <v>4.7974118836779533</v>
      </c>
      <c r="M7" s="388">
        <f t="shared" si="7"/>
        <v>2.1136749352374591</v>
      </c>
      <c r="N7" s="381"/>
      <c r="O7" s="389">
        <f>'App 5 - Organics'!F7</f>
        <v>0</v>
      </c>
      <c r="P7" s="390"/>
      <c r="Q7" s="391"/>
      <c r="R7" s="392">
        <f>'App 5 - Organics'!J7</f>
        <v>7219.93</v>
      </c>
      <c r="S7" s="393">
        <f t="shared" si="8"/>
        <v>9.4452250130821547</v>
      </c>
      <c r="T7" s="394">
        <f t="shared" si="9"/>
        <v>4.1614386781657933</v>
      </c>
      <c r="V7" s="395">
        <f>'App 1 - Services'!G7</f>
        <v>19922</v>
      </c>
      <c r="W7" s="396">
        <f>'App 1 - Services'!M7</f>
        <v>18740</v>
      </c>
      <c r="X7" s="397">
        <f>'App 1 - Services'!N7</f>
        <v>17191</v>
      </c>
      <c r="Y7" s="398">
        <f>'App 1 - Services'!O7</f>
        <v>0</v>
      </c>
      <c r="Z7" s="392">
        <f>'App 1 - Services'!P7</f>
        <v>14700</v>
      </c>
      <c r="AB7" s="399">
        <f>'App 1 - Services'!F7</f>
        <v>45217</v>
      </c>
      <c r="AC7" s="396">
        <f t="shared" si="10"/>
        <v>42534.212428471037</v>
      </c>
      <c r="AD7" s="397">
        <f t="shared" si="11"/>
        <v>39018.444282702541</v>
      </c>
      <c r="AE7" s="398">
        <f t="shared" si="12"/>
        <v>0</v>
      </c>
      <c r="AF7" s="392">
        <f t="shared" si="13"/>
        <v>33364.617006324668</v>
      </c>
      <c r="AG7" s="400" t="s">
        <v>14</v>
      </c>
      <c r="AH7" s="401">
        <f t="shared" si="3"/>
        <v>14700</v>
      </c>
      <c r="AI7" s="401">
        <f t="shared" si="4"/>
        <v>33364.617006324668</v>
      </c>
      <c r="AJ7" s="401">
        <f t="shared" si="5"/>
        <v>7219.93</v>
      </c>
      <c r="AK7" s="393"/>
      <c r="AL7" s="394">
        <f>(AJ7*1000)/AF7/52</f>
        <v>4.1614386781657933</v>
      </c>
    </row>
    <row r="8" spans="1:38" x14ac:dyDescent="0.2">
      <c r="A8" s="8">
        <v>10300</v>
      </c>
      <c r="B8" s="8" t="s">
        <v>81</v>
      </c>
      <c r="C8" s="8" t="s">
        <v>73</v>
      </c>
      <c r="D8" s="29" t="s">
        <v>1</v>
      </c>
      <c r="E8" s="381"/>
      <c r="F8" s="382">
        <f>'App 6 - Residual Waste'!F8</f>
        <v>575</v>
      </c>
      <c r="G8" s="383">
        <f t="shared" si="0"/>
        <v>15.336605142430386</v>
      </c>
      <c r="H8" s="384">
        <f t="shared" si="1"/>
        <v>10.800800846186879</v>
      </c>
      <c r="I8" s="385"/>
      <c r="J8" s="386"/>
      <c r="K8" s="387">
        <f>'App 4 - Recyclables'!F8</f>
        <v>0</v>
      </c>
      <c r="L8" s="388"/>
      <c r="M8" s="388"/>
      <c r="N8" s="381"/>
      <c r="O8" s="389">
        <f>'App 5 - Organics'!F8</f>
        <v>0</v>
      </c>
      <c r="P8" s="390"/>
      <c r="Q8" s="391"/>
      <c r="R8" s="392">
        <f>'App 5 - Organics'!J8</f>
        <v>0</v>
      </c>
      <c r="S8" s="393"/>
      <c r="T8" s="394"/>
      <c r="V8" s="395">
        <f>'App 1 - Services'!G8</f>
        <v>1624</v>
      </c>
      <c r="W8" s="396">
        <f>'App 1 - Services'!M8</f>
        <v>721</v>
      </c>
      <c r="X8" s="397">
        <f>'App 1 - Services'!N8</f>
        <v>0</v>
      </c>
      <c r="Y8" s="398">
        <f>'App 1 - Services'!O8</f>
        <v>0</v>
      </c>
      <c r="Z8" s="392">
        <f>'App 1 - Services'!P8</f>
        <v>0</v>
      </c>
      <c r="AA8" s="2">
        <v>1</v>
      </c>
      <c r="AB8" s="399">
        <f>'App 1 - Services'!F8</f>
        <v>2306</v>
      </c>
      <c r="AC8" s="396">
        <f t="shared" si="10"/>
        <v>1023.7844827586207</v>
      </c>
      <c r="AD8" s="397">
        <f t="shared" si="11"/>
        <v>0</v>
      </c>
      <c r="AE8" s="398">
        <f t="shared" si="12"/>
        <v>0</v>
      </c>
      <c r="AF8" s="392">
        <f t="shared" si="13"/>
        <v>0</v>
      </c>
      <c r="AG8" s="400"/>
      <c r="AH8" s="401">
        <f t="shared" si="3"/>
        <v>0</v>
      </c>
      <c r="AI8" s="401">
        <f t="shared" si="4"/>
        <v>0</v>
      </c>
      <c r="AJ8" s="401">
        <f t="shared" si="5"/>
        <v>0</v>
      </c>
      <c r="AK8" s="393"/>
      <c r="AL8" s="394"/>
    </row>
    <row r="9" spans="1:38" x14ac:dyDescent="0.2">
      <c r="A9" s="8">
        <v>10470</v>
      </c>
      <c r="B9" s="8" t="s">
        <v>82</v>
      </c>
      <c r="C9" s="8" t="s">
        <v>42</v>
      </c>
      <c r="D9" s="29" t="s">
        <v>1</v>
      </c>
      <c r="E9" s="381"/>
      <c r="F9" s="382">
        <f>'App 6 - Residual Waste'!F9</f>
        <v>10113</v>
      </c>
      <c r="G9" s="383">
        <f t="shared" si="0"/>
        <v>12.424504518671771</v>
      </c>
      <c r="H9" s="384">
        <f t="shared" si="1"/>
        <v>5.6711723734877371</v>
      </c>
      <c r="I9" s="385"/>
      <c r="J9" s="386"/>
      <c r="K9" s="387">
        <f>'App 4 - Recyclables'!F9</f>
        <v>2208.8200000000002</v>
      </c>
      <c r="L9" s="388">
        <f t="shared" si="6"/>
        <v>2.7215086937665101</v>
      </c>
      <c r="M9" s="388">
        <f t="shared" si="7"/>
        <v>1.2422342392085428</v>
      </c>
      <c r="N9" s="381"/>
      <c r="O9" s="389">
        <f>'App 5 - Organics'!F9</f>
        <v>0</v>
      </c>
      <c r="P9" s="390"/>
      <c r="Q9" s="391"/>
      <c r="R9" s="392">
        <f>'App 5 - Organics'!J9</f>
        <v>4821.0200000000004</v>
      </c>
      <c r="S9" s="393">
        <f t="shared" si="8"/>
        <v>6.5230368730685342</v>
      </c>
      <c r="T9" s="394">
        <f t="shared" si="9"/>
        <v>2.9774440059315004</v>
      </c>
      <c r="V9" s="395">
        <f>'App 1 - Services'!G9</f>
        <v>20082</v>
      </c>
      <c r="W9" s="396">
        <f>'App 1 - Services'!M9</f>
        <v>15653</v>
      </c>
      <c r="X9" s="397">
        <f>'App 1 - Services'!N9</f>
        <v>15608</v>
      </c>
      <c r="Y9" s="398">
        <f>'App 1 - Services'!O9</f>
        <v>0</v>
      </c>
      <c r="Z9" s="392">
        <f>'App 1 - Services'!P9</f>
        <v>14213</v>
      </c>
      <c r="AB9" s="399">
        <f>'App 1 - Services'!F9</f>
        <v>43996</v>
      </c>
      <c r="AC9" s="396">
        <f t="shared" si="10"/>
        <v>34292.868638581815</v>
      </c>
      <c r="AD9" s="397">
        <f t="shared" si="11"/>
        <v>34194.281844437806</v>
      </c>
      <c r="AE9" s="398">
        <f t="shared" si="12"/>
        <v>0</v>
      </c>
      <c r="AF9" s="392">
        <f t="shared" si="13"/>
        <v>31138.091225973509</v>
      </c>
      <c r="AG9" s="400" t="s">
        <v>14</v>
      </c>
      <c r="AH9" s="401">
        <f t="shared" si="3"/>
        <v>14213</v>
      </c>
      <c r="AI9" s="401">
        <f t="shared" si="4"/>
        <v>31138.091225973509</v>
      </c>
      <c r="AJ9" s="401">
        <f t="shared" si="5"/>
        <v>4821.0200000000004</v>
      </c>
      <c r="AK9" s="393"/>
      <c r="AL9" s="394">
        <f>(AJ9*1000)/AF9/52</f>
        <v>2.9774440059315004</v>
      </c>
    </row>
    <row r="10" spans="1:38" x14ac:dyDescent="0.2">
      <c r="A10" s="8">
        <v>10500</v>
      </c>
      <c r="B10" s="8" t="s">
        <v>23</v>
      </c>
      <c r="C10" s="8" t="s">
        <v>18</v>
      </c>
      <c r="D10" s="29" t="s">
        <v>3</v>
      </c>
      <c r="E10" s="381"/>
      <c r="F10" s="382">
        <f>'App 6 - Residual Waste'!F10</f>
        <v>44095</v>
      </c>
      <c r="G10" s="383">
        <f t="shared" si="0"/>
        <v>12.719838736848907</v>
      </c>
      <c r="H10" s="384">
        <f t="shared" si="1"/>
        <v>4.67279122526213</v>
      </c>
      <c r="I10" s="385"/>
      <c r="J10" s="386"/>
      <c r="K10" s="387">
        <f>'App 4 - Recyclables'!F10</f>
        <v>9238</v>
      </c>
      <c r="L10" s="388">
        <f t="shared" si="6"/>
        <v>2.6931123026081036</v>
      </c>
      <c r="M10" s="388">
        <f t="shared" si="7"/>
        <v>0.98934835548002897</v>
      </c>
      <c r="N10" s="381"/>
      <c r="O10" s="389">
        <f>'App 5 - Organics'!F10</f>
        <v>2014</v>
      </c>
      <c r="P10" s="390">
        <f t="shared" ref="P10:P68" si="14">(O10*1000)/Y10/52</f>
        <v>2.4053390405396367</v>
      </c>
      <c r="Q10" s="391">
        <f t="shared" ref="Q10:Q68" si="15">(O10*1000)/AE10/52</f>
        <v>0.88363126254527102</v>
      </c>
      <c r="R10" s="392">
        <f>'App 5 - Organics'!J10</f>
        <v>0</v>
      </c>
      <c r="S10" s="393"/>
      <c r="T10" s="394"/>
      <c r="V10" s="395">
        <f>'App 1 - Services'!G10</f>
        <v>66666</v>
      </c>
      <c r="W10" s="396">
        <f>'App 1 - Services'!M10</f>
        <v>66666</v>
      </c>
      <c r="X10" s="397">
        <f>'App 1 - Services'!N10</f>
        <v>65966</v>
      </c>
      <c r="Y10" s="398">
        <f>'App 1 - Services'!O10</f>
        <v>16102</v>
      </c>
      <c r="Z10" s="392">
        <f>'App 1 - Services'!P10</f>
        <v>0</v>
      </c>
      <c r="AB10" s="399">
        <f>'App 1 - Services'!F10</f>
        <v>181472</v>
      </c>
      <c r="AC10" s="396">
        <f t="shared" si="10"/>
        <v>181472</v>
      </c>
      <c r="AD10" s="397">
        <f t="shared" si="11"/>
        <v>179566.52494524946</v>
      </c>
      <c r="AE10" s="398">
        <f t="shared" si="12"/>
        <v>43831.370473704737</v>
      </c>
      <c r="AF10" s="392">
        <f t="shared" si="13"/>
        <v>0</v>
      </c>
      <c r="AG10" s="400"/>
      <c r="AH10" s="401">
        <f t="shared" si="3"/>
        <v>16102</v>
      </c>
      <c r="AI10" s="401">
        <f t="shared" si="4"/>
        <v>43831.370473704737</v>
      </c>
      <c r="AJ10" s="401">
        <f t="shared" si="5"/>
        <v>2014</v>
      </c>
      <c r="AK10" s="393">
        <f>(AJ10*1000)/AE10/52</f>
        <v>0.88363126254527102</v>
      </c>
      <c r="AL10" s="394"/>
    </row>
    <row r="11" spans="1:38" x14ac:dyDescent="0.2">
      <c r="A11" s="8">
        <v>10550</v>
      </c>
      <c r="B11" s="8" t="s">
        <v>83</v>
      </c>
      <c r="C11" s="8" t="s">
        <v>74</v>
      </c>
      <c r="D11" s="29" t="s">
        <v>1</v>
      </c>
      <c r="E11" s="381"/>
      <c r="F11" s="382">
        <f>'App 6 - Residual Waste'!F11</f>
        <v>7009</v>
      </c>
      <c r="G11" s="383">
        <f t="shared" si="0"/>
        <v>11.097353988017581</v>
      </c>
      <c r="H11" s="384">
        <f t="shared" si="1"/>
        <v>5.6162638966627974</v>
      </c>
      <c r="I11" s="385"/>
      <c r="J11" s="386"/>
      <c r="K11" s="387">
        <f>'App 4 - Recyclables'!F11</f>
        <v>3824</v>
      </c>
      <c r="L11" s="388">
        <f t="shared" si="6"/>
        <v>5.6825949724489249</v>
      </c>
      <c r="M11" s="388">
        <f t="shared" si="7"/>
        <v>2.8759065465139475</v>
      </c>
      <c r="N11" s="381"/>
      <c r="O11" s="389">
        <f>'App 5 - Organics'!F11</f>
        <v>0</v>
      </c>
      <c r="P11" s="390"/>
      <c r="Q11" s="391"/>
      <c r="R11" s="392">
        <f>'App 5 - Organics'!J11</f>
        <v>5406</v>
      </c>
      <c r="S11" s="393">
        <f t="shared" ref="S11" si="16">(R11*1000)/Z11/52</f>
        <v>11.409299655568313</v>
      </c>
      <c r="T11" s="394">
        <f t="shared" ref="T11" si="17">(R11*1000)/AF11/52</f>
        <v>5.7741365924673342</v>
      </c>
      <c r="V11" s="395">
        <f>'App 1 - Services'!G11</f>
        <v>17575</v>
      </c>
      <c r="W11" s="396">
        <f>'App 1 - Services'!M11</f>
        <v>12146</v>
      </c>
      <c r="X11" s="397">
        <f>'App 1 - Services'!N11</f>
        <v>12941</v>
      </c>
      <c r="Y11" s="398">
        <f>'App 1 - Services'!O11</f>
        <v>0</v>
      </c>
      <c r="Z11" s="392">
        <f>'App 1 - Services'!P11</f>
        <v>9112</v>
      </c>
      <c r="AB11" s="399">
        <f>'App 1 - Services'!F11</f>
        <v>34727</v>
      </c>
      <c r="AC11" s="396">
        <f t="shared" si="10"/>
        <v>23999.666685633001</v>
      </c>
      <c r="AD11" s="397">
        <f t="shared" si="11"/>
        <v>25570.532403982932</v>
      </c>
      <c r="AE11" s="398">
        <f t="shared" si="12"/>
        <v>0</v>
      </c>
      <c r="AF11" s="392">
        <f t="shared" si="13"/>
        <v>18004.689843527736</v>
      </c>
      <c r="AG11" s="400" t="s">
        <v>724</v>
      </c>
      <c r="AH11" s="401">
        <f t="shared" si="3"/>
        <v>9112</v>
      </c>
      <c r="AI11" s="401">
        <f t="shared" si="4"/>
        <v>18004.689843527736</v>
      </c>
      <c r="AJ11" s="401">
        <f t="shared" si="5"/>
        <v>5406</v>
      </c>
      <c r="AK11" s="393"/>
      <c r="AL11" s="394">
        <f>(AJ11*1000)/AF11/52</f>
        <v>5.7741365924673342</v>
      </c>
    </row>
    <row r="12" spans="1:38" x14ac:dyDescent="0.2">
      <c r="A12" s="8">
        <v>10600</v>
      </c>
      <c r="B12" s="8" t="s">
        <v>51</v>
      </c>
      <c r="C12" s="8" t="s">
        <v>43</v>
      </c>
      <c r="D12" s="29" t="s">
        <v>4</v>
      </c>
      <c r="E12" s="381"/>
      <c r="F12" s="382">
        <f>'App 6 - Residual Waste'!F12</f>
        <v>1541.1</v>
      </c>
      <c r="G12" s="383">
        <f t="shared" si="0"/>
        <v>6.8239784622469406</v>
      </c>
      <c r="H12" s="384">
        <f t="shared" si="1"/>
        <v>3.1157347822450072</v>
      </c>
      <c r="I12" s="385"/>
      <c r="J12" s="386"/>
      <c r="K12" s="387">
        <f>'App 4 - Recyclables'!F12</f>
        <v>977.62</v>
      </c>
      <c r="L12" s="388">
        <f t="shared" si="6"/>
        <v>4.3288935333604917</v>
      </c>
      <c r="M12" s="388">
        <f t="shared" si="7"/>
        <v>1.9765132942822428</v>
      </c>
      <c r="N12" s="381"/>
      <c r="O12" s="389">
        <f>'App 5 - Organics'!F12</f>
        <v>0</v>
      </c>
      <c r="P12" s="390"/>
      <c r="Q12" s="391"/>
      <c r="R12" s="392">
        <f>'App 5 - Organics'!J12</f>
        <v>1765.2</v>
      </c>
      <c r="S12" s="393">
        <f t="shared" si="8"/>
        <v>7.8162914681450255</v>
      </c>
      <c r="T12" s="394">
        <f t="shared" si="9"/>
        <v>3.5688112631359981</v>
      </c>
      <c r="V12" s="395">
        <f>'App 1 - Services'!G12</f>
        <v>6000</v>
      </c>
      <c r="W12" s="396">
        <f>'App 1 - Services'!M12</f>
        <v>4343</v>
      </c>
      <c r="X12" s="397">
        <f>'App 1 - Services'!N12</f>
        <v>4343</v>
      </c>
      <c r="Y12" s="398">
        <f>'App 1 - Services'!O12</f>
        <v>0</v>
      </c>
      <c r="Z12" s="392">
        <f>'App 1 - Services'!P12</f>
        <v>4343</v>
      </c>
      <c r="AB12" s="399">
        <f>'App 1 - Services'!F12</f>
        <v>13141</v>
      </c>
      <c r="AC12" s="396">
        <f t="shared" si="10"/>
        <v>9511.8938333333335</v>
      </c>
      <c r="AD12" s="397">
        <f t="shared" si="11"/>
        <v>9511.8938333333335</v>
      </c>
      <c r="AE12" s="398">
        <f t="shared" si="12"/>
        <v>0</v>
      </c>
      <c r="AF12" s="392">
        <f t="shared" si="13"/>
        <v>9511.8938333333335</v>
      </c>
      <c r="AG12" s="400" t="s">
        <v>14</v>
      </c>
      <c r="AH12" s="401">
        <f t="shared" si="3"/>
        <v>4343</v>
      </c>
      <c r="AI12" s="401">
        <f t="shared" si="4"/>
        <v>9511.8938333333335</v>
      </c>
      <c r="AJ12" s="401">
        <f t="shared" si="5"/>
        <v>1765.2</v>
      </c>
      <c r="AK12" s="393"/>
      <c r="AL12" s="394">
        <f>(AJ12*1000)/AF12/52</f>
        <v>3.5688112631359981</v>
      </c>
    </row>
    <row r="13" spans="1:38" x14ac:dyDescent="0.2">
      <c r="A13" s="8">
        <v>10650</v>
      </c>
      <c r="B13" s="8" t="s">
        <v>84</v>
      </c>
      <c r="C13" s="8" t="s">
        <v>73</v>
      </c>
      <c r="D13" s="29" t="s">
        <v>1</v>
      </c>
      <c r="E13" s="402"/>
      <c r="F13" s="382">
        <f>'App 6 - Residual Waste'!F13</f>
        <v>1701.32</v>
      </c>
      <c r="G13" s="383">
        <f t="shared" si="0"/>
        <v>7.8290721004288839</v>
      </c>
      <c r="H13" s="384">
        <f t="shared" si="1"/>
        <v>4.4822863835447242</v>
      </c>
      <c r="I13" s="385"/>
      <c r="J13" s="386"/>
      <c r="K13" s="387">
        <f>'App 4 - Recyclables'!F13</f>
        <v>626.52</v>
      </c>
      <c r="L13" s="388">
        <f t="shared" si="6"/>
        <v>3.3191354100445007</v>
      </c>
      <c r="M13" s="388">
        <f t="shared" si="7"/>
        <v>1.9002654800903682</v>
      </c>
      <c r="N13" s="381"/>
      <c r="O13" s="389">
        <f>'App 5 - Organics'!F13</f>
        <v>0</v>
      </c>
      <c r="P13" s="390"/>
      <c r="Q13" s="391"/>
      <c r="R13" s="392">
        <f>'App 5 - Organics'!J13</f>
        <v>0</v>
      </c>
      <c r="S13" s="393"/>
      <c r="T13" s="394"/>
      <c r="V13" s="395">
        <f>'App 1 - Services'!G13</f>
        <v>5029</v>
      </c>
      <c r="W13" s="396">
        <f>'App 1 - Services'!M13</f>
        <v>4179</v>
      </c>
      <c r="X13" s="397">
        <f>'App 1 - Services'!N13</f>
        <v>3630</v>
      </c>
      <c r="Y13" s="398">
        <f>'App 1 - Services'!O13</f>
        <v>0</v>
      </c>
      <c r="Z13" s="392">
        <f>'App 1 - Services'!P13</f>
        <v>0</v>
      </c>
      <c r="AA13" s="2">
        <v>1</v>
      </c>
      <c r="AB13" s="399">
        <f>'App 1 - Services'!F13</f>
        <v>8784</v>
      </c>
      <c r="AC13" s="396">
        <f t="shared" si="10"/>
        <v>7299.3310797375225</v>
      </c>
      <c r="AD13" s="397">
        <f t="shared" si="11"/>
        <v>6340.4096241797579</v>
      </c>
      <c r="AE13" s="398">
        <f t="shared" si="12"/>
        <v>0</v>
      </c>
      <c r="AF13" s="392">
        <f t="shared" si="13"/>
        <v>0</v>
      </c>
      <c r="AG13" s="400"/>
      <c r="AH13" s="401">
        <f t="shared" si="3"/>
        <v>0</v>
      </c>
      <c r="AI13" s="401">
        <f t="shared" si="4"/>
        <v>0</v>
      </c>
      <c r="AJ13" s="401">
        <f t="shared" si="5"/>
        <v>0</v>
      </c>
      <c r="AK13" s="393"/>
      <c r="AL13" s="394"/>
    </row>
    <row r="14" spans="1:38" x14ac:dyDescent="0.2">
      <c r="A14" s="8">
        <v>10750</v>
      </c>
      <c r="B14" s="8" t="s">
        <v>52</v>
      </c>
      <c r="C14" s="8" t="s">
        <v>19</v>
      </c>
      <c r="D14" s="29" t="s">
        <v>3</v>
      </c>
      <c r="E14" s="381"/>
      <c r="F14" s="382">
        <f>'App 6 - Residual Waste'!F14</f>
        <v>116053</v>
      </c>
      <c r="G14" s="383">
        <f t="shared" si="0"/>
        <v>15.904765193900184</v>
      </c>
      <c r="H14" s="384">
        <f t="shared" si="1"/>
        <v>5.9872769862391628</v>
      </c>
      <c r="I14" s="385"/>
      <c r="J14" s="386"/>
      <c r="K14" s="387">
        <f>'App 4 - Recyclables'!F14</f>
        <v>20314.72</v>
      </c>
      <c r="L14" s="388">
        <f t="shared" si="6"/>
        <v>3.0314867099223428</v>
      </c>
      <c r="M14" s="388">
        <f t="shared" si="7"/>
        <v>1.1411894731629841</v>
      </c>
      <c r="N14" s="381"/>
      <c r="O14" s="389">
        <f>'App 5 - Organics'!F14</f>
        <v>0</v>
      </c>
      <c r="P14" s="390"/>
      <c r="Q14" s="391"/>
      <c r="R14" s="392">
        <f>'App 5 - Organics'!J14</f>
        <v>0</v>
      </c>
      <c r="S14" s="393"/>
      <c r="T14" s="394"/>
      <c r="V14" s="395">
        <f>'App 1 - Services'!G14</f>
        <v>144115</v>
      </c>
      <c r="W14" s="396">
        <f>'App 1 - Services'!M14</f>
        <v>140322</v>
      </c>
      <c r="X14" s="397">
        <f>'App 1 - Services'!N14</f>
        <v>128870</v>
      </c>
      <c r="Y14" s="398">
        <f>'App 1 - Services'!O14</f>
        <v>0</v>
      </c>
      <c r="Z14" s="392">
        <f>'App 1 - Services'!P14</f>
        <v>0</v>
      </c>
      <c r="AA14" s="2">
        <v>1</v>
      </c>
      <c r="AB14" s="399">
        <f>'App 1 - Services'!F14</f>
        <v>382831</v>
      </c>
      <c r="AC14" s="396">
        <f t="shared" si="10"/>
        <v>372755.17178642057</v>
      </c>
      <c r="AD14" s="397">
        <f t="shared" si="11"/>
        <v>342333.76796308503</v>
      </c>
      <c r="AE14" s="398">
        <f t="shared" si="12"/>
        <v>0</v>
      </c>
      <c r="AF14" s="392">
        <f t="shared" si="13"/>
        <v>0</v>
      </c>
      <c r="AG14" s="400"/>
      <c r="AH14" s="401">
        <f t="shared" si="3"/>
        <v>0</v>
      </c>
      <c r="AI14" s="401">
        <f t="shared" si="4"/>
        <v>0</v>
      </c>
      <c r="AJ14" s="401">
        <f t="shared" si="5"/>
        <v>0</v>
      </c>
      <c r="AK14" s="393"/>
      <c r="AL14" s="394"/>
    </row>
    <row r="15" spans="1:38" x14ac:dyDescent="0.2">
      <c r="A15" s="8">
        <v>10800</v>
      </c>
      <c r="B15" s="8" t="s">
        <v>85</v>
      </c>
      <c r="C15" s="8" t="s">
        <v>22</v>
      </c>
      <c r="D15" s="29" t="s">
        <v>1</v>
      </c>
      <c r="E15" s="381"/>
      <c r="F15" s="382">
        <f>'App 6 - Residual Waste'!F15</f>
        <v>935.7</v>
      </c>
      <c r="G15" s="383">
        <f t="shared" si="0"/>
        <v>9.5257971250559912</v>
      </c>
      <c r="H15" s="384">
        <f t="shared" si="1"/>
        <v>7.2442267171345476</v>
      </c>
      <c r="I15" s="385"/>
      <c r="J15" s="386"/>
      <c r="K15" s="387">
        <f>'App 4 - Recyclables'!F15</f>
        <v>0</v>
      </c>
      <c r="L15" s="388"/>
      <c r="M15" s="388"/>
      <c r="N15" s="381"/>
      <c r="O15" s="389">
        <f>'App 5 - Organics'!F15</f>
        <v>0</v>
      </c>
      <c r="P15" s="390"/>
      <c r="Q15" s="391"/>
      <c r="R15" s="392">
        <f>'App 5 - Organics'!J15</f>
        <v>0</v>
      </c>
      <c r="S15" s="393"/>
      <c r="T15" s="394"/>
      <c r="V15" s="395">
        <f>'App 1 - Services'!G15</f>
        <v>4515</v>
      </c>
      <c r="W15" s="396">
        <f>'App 1 - Services'!M15</f>
        <v>1889</v>
      </c>
      <c r="X15" s="397">
        <f>'App 1 - Services'!N15</f>
        <v>0</v>
      </c>
      <c r="Y15" s="398">
        <f>'App 1 - Services'!O15</f>
        <v>0</v>
      </c>
      <c r="Z15" s="392">
        <f>'App 1 - Services'!P15</f>
        <v>0</v>
      </c>
      <c r="AA15" s="2">
        <v>1</v>
      </c>
      <c r="AB15" s="399">
        <f>'App 1 - Services'!F15</f>
        <v>5937</v>
      </c>
      <c r="AC15" s="396">
        <f t="shared" si="10"/>
        <v>2483.9408637873753</v>
      </c>
      <c r="AD15" s="397">
        <f t="shared" si="11"/>
        <v>0</v>
      </c>
      <c r="AE15" s="398">
        <f t="shared" si="12"/>
        <v>0</v>
      </c>
      <c r="AF15" s="392">
        <f t="shared" si="13"/>
        <v>0</v>
      </c>
      <c r="AG15" s="400"/>
      <c r="AH15" s="401">
        <f t="shared" si="3"/>
        <v>0</v>
      </c>
      <c r="AI15" s="401">
        <f t="shared" si="4"/>
        <v>0</v>
      </c>
      <c r="AJ15" s="401">
        <f t="shared" si="5"/>
        <v>0</v>
      </c>
      <c r="AK15" s="393"/>
      <c r="AL15" s="394"/>
    </row>
    <row r="16" spans="1:38" x14ac:dyDescent="0.2">
      <c r="A16" s="8">
        <v>10850</v>
      </c>
      <c r="B16" s="8" t="s">
        <v>86</v>
      </c>
      <c r="C16" s="8" t="s">
        <v>42</v>
      </c>
      <c r="D16" s="29" t="s">
        <v>1</v>
      </c>
      <c r="E16" s="381"/>
      <c r="F16" s="382">
        <f>'App 6 - Residual Waste'!F16</f>
        <v>2033</v>
      </c>
      <c r="G16" s="383">
        <f t="shared" si="0"/>
        <v>14.485421951149998</v>
      </c>
      <c r="H16" s="384">
        <f t="shared" si="1"/>
        <v>8.1571253116947364</v>
      </c>
      <c r="I16" s="385"/>
      <c r="J16" s="386"/>
      <c r="K16" s="387">
        <f>'App 4 - Recyclables'!F16</f>
        <v>500.7</v>
      </c>
      <c r="L16" s="388">
        <f t="shared" si="6"/>
        <v>3.5675606349930171</v>
      </c>
      <c r="M16" s="388">
        <f t="shared" si="7"/>
        <v>2.0089880194616598</v>
      </c>
      <c r="N16" s="381"/>
      <c r="O16" s="389">
        <f>'App 5 - Organics'!F16</f>
        <v>0</v>
      </c>
      <c r="P16" s="390"/>
      <c r="Q16" s="391"/>
      <c r="R16" s="392">
        <f>'App 5 - Organics'!J16</f>
        <v>0</v>
      </c>
      <c r="S16" s="393"/>
      <c r="T16" s="394"/>
      <c r="V16" s="395">
        <f>'App 1 - Services'!G16</f>
        <v>4157</v>
      </c>
      <c r="W16" s="396">
        <f>'App 1 - Services'!M16</f>
        <v>2699</v>
      </c>
      <c r="X16" s="397">
        <f>'App 1 - Services'!N16</f>
        <v>2699</v>
      </c>
      <c r="Y16" s="398">
        <f>'App 1 - Services'!O16</f>
        <v>0</v>
      </c>
      <c r="Z16" s="392">
        <f>'App 1 - Services'!P16</f>
        <v>0</v>
      </c>
      <c r="AA16" s="2">
        <v>1</v>
      </c>
      <c r="AB16" s="399">
        <f>'App 1 - Services'!F16</f>
        <v>7382</v>
      </c>
      <c r="AC16" s="396">
        <f t="shared" si="10"/>
        <v>4792.8838104402212</v>
      </c>
      <c r="AD16" s="397">
        <f t="shared" si="11"/>
        <v>4792.8838104402212</v>
      </c>
      <c r="AE16" s="398">
        <f t="shared" si="12"/>
        <v>0</v>
      </c>
      <c r="AF16" s="392">
        <f t="shared" si="13"/>
        <v>0</v>
      </c>
      <c r="AG16" s="400"/>
      <c r="AH16" s="401">
        <f t="shared" si="3"/>
        <v>0</v>
      </c>
      <c r="AI16" s="401">
        <f t="shared" si="4"/>
        <v>0</v>
      </c>
      <c r="AJ16" s="401">
        <f t="shared" si="5"/>
        <v>0</v>
      </c>
      <c r="AK16" s="393"/>
      <c r="AL16" s="394"/>
    </row>
    <row r="17" spans="1:38" x14ac:dyDescent="0.2">
      <c r="A17" s="8">
        <v>10900</v>
      </c>
      <c r="B17" s="8" t="s">
        <v>87</v>
      </c>
      <c r="C17" s="8" t="s">
        <v>19</v>
      </c>
      <c r="D17" s="29" t="s">
        <v>4</v>
      </c>
      <c r="E17" s="381"/>
      <c r="F17" s="382">
        <f>'App 6 - Residual Waste'!F17</f>
        <v>17966</v>
      </c>
      <c r="G17" s="383">
        <f t="shared" si="0"/>
        <v>10.25709535684598</v>
      </c>
      <c r="H17" s="384">
        <f t="shared" si="1"/>
        <v>5.0081616675108327</v>
      </c>
      <c r="I17" s="385"/>
      <c r="J17" s="386"/>
      <c r="K17" s="387">
        <f>'App 4 - Recyclables'!F17</f>
        <v>7076</v>
      </c>
      <c r="L17" s="388">
        <f t="shared" si="6"/>
        <v>4.2586587511946634</v>
      </c>
      <c r="M17" s="388">
        <f t="shared" si="7"/>
        <v>2.0793461278009375</v>
      </c>
      <c r="N17" s="381"/>
      <c r="O17" s="389">
        <f>'App 5 - Organics'!F17</f>
        <v>11470</v>
      </c>
      <c r="P17" s="390">
        <f t="shared" si="14"/>
        <v>6.5779060351571008</v>
      </c>
      <c r="Q17" s="391">
        <f t="shared" si="15"/>
        <v>3.2117491074872757</v>
      </c>
      <c r="R17" s="392">
        <f>'App 5 - Organics'!J17</f>
        <v>0</v>
      </c>
      <c r="S17" s="393"/>
      <c r="T17" s="394"/>
      <c r="V17" s="395">
        <f>'App 1 - Services'!G17</f>
        <v>38668</v>
      </c>
      <c r="W17" s="396">
        <f>'App 1 - Services'!M17</f>
        <v>33684</v>
      </c>
      <c r="X17" s="397">
        <f>'App 1 - Services'!N17</f>
        <v>31953</v>
      </c>
      <c r="Y17" s="398">
        <f>'App 1 - Services'!O17</f>
        <v>33533</v>
      </c>
      <c r="Z17" s="392">
        <f>'App 1 - Services'!P17</f>
        <v>0</v>
      </c>
      <c r="AB17" s="399">
        <f>'App 1 - Services'!F17</f>
        <v>79195</v>
      </c>
      <c r="AC17" s="396">
        <f t="shared" si="10"/>
        <v>68987.389572773347</v>
      </c>
      <c r="AD17" s="397">
        <f t="shared" si="11"/>
        <v>65442.170140684801</v>
      </c>
      <c r="AE17" s="398">
        <f t="shared" si="12"/>
        <v>68678.130107582503</v>
      </c>
      <c r="AF17" s="392">
        <f t="shared" si="13"/>
        <v>0</v>
      </c>
      <c r="AG17" s="400"/>
      <c r="AH17" s="401">
        <f t="shared" si="3"/>
        <v>33533</v>
      </c>
      <c r="AI17" s="401">
        <f t="shared" si="4"/>
        <v>68678.130107582503</v>
      </c>
      <c r="AJ17" s="401">
        <f t="shared" si="5"/>
        <v>11470</v>
      </c>
      <c r="AK17" s="393">
        <f>(AJ17*1000)/AE17/52</f>
        <v>3.2117491074872757</v>
      </c>
      <c r="AL17" s="394"/>
    </row>
    <row r="18" spans="1:38" x14ac:dyDescent="0.2">
      <c r="A18" s="8">
        <v>10950</v>
      </c>
      <c r="B18" s="8" t="s">
        <v>88</v>
      </c>
      <c r="C18" s="8" t="s">
        <v>42</v>
      </c>
      <c r="D18" s="29" t="s">
        <v>1</v>
      </c>
      <c r="E18" s="402"/>
      <c r="F18" s="382">
        <f>'App 6 - Residual Waste'!F18</f>
        <v>302.10000000000002</v>
      </c>
      <c r="G18" s="383">
        <f t="shared" si="0"/>
        <v>5.5861686390532546</v>
      </c>
      <c r="H18" s="384">
        <f t="shared" si="1"/>
        <v>4.6739157138144281</v>
      </c>
      <c r="I18" s="385"/>
      <c r="J18" s="386"/>
      <c r="K18" s="387">
        <f>'App 4 - Recyclables'!F18</f>
        <v>117.5</v>
      </c>
      <c r="L18" s="388">
        <f t="shared" si="6"/>
        <v>2.0579375087571807</v>
      </c>
      <c r="M18" s="388">
        <f t="shared" si="7"/>
        <v>1.7218646771570563</v>
      </c>
      <c r="N18" s="381"/>
      <c r="O18" s="389">
        <f>'App 5 - Organics'!F18</f>
        <v>0</v>
      </c>
      <c r="P18" s="390"/>
      <c r="Q18" s="391"/>
      <c r="R18" s="392">
        <f>'App 5 - Organics'!J18</f>
        <v>0</v>
      </c>
      <c r="S18" s="393"/>
      <c r="T18" s="394"/>
      <c r="V18" s="395">
        <f>'App 1 - Services'!G18</f>
        <v>2116</v>
      </c>
      <c r="W18" s="396">
        <f>'App 1 - Services'!M18</f>
        <v>1040</v>
      </c>
      <c r="X18" s="397">
        <f>'App 1 - Services'!N18</f>
        <v>1098</v>
      </c>
      <c r="Y18" s="398">
        <f>'App 1 - Services'!O18</f>
        <v>0</v>
      </c>
      <c r="Z18" s="392">
        <f>'App 1 - Services'!P18</f>
        <v>0</v>
      </c>
      <c r="AA18" s="2">
        <v>1</v>
      </c>
      <c r="AB18" s="399">
        <f>'App 1 - Services'!F18</f>
        <v>2529</v>
      </c>
      <c r="AC18" s="396">
        <f t="shared" si="10"/>
        <v>1242.9867674858222</v>
      </c>
      <c r="AD18" s="397">
        <f t="shared" si="11"/>
        <v>1312.3071833648391</v>
      </c>
      <c r="AE18" s="398">
        <f t="shared" si="12"/>
        <v>0</v>
      </c>
      <c r="AF18" s="392">
        <f t="shared" si="13"/>
        <v>0</v>
      </c>
      <c r="AG18" s="400"/>
      <c r="AH18" s="401">
        <f t="shared" si="3"/>
        <v>0</v>
      </c>
      <c r="AI18" s="401">
        <f t="shared" si="4"/>
        <v>0</v>
      </c>
      <c r="AJ18" s="401">
        <f t="shared" si="5"/>
        <v>0</v>
      </c>
      <c r="AK18" s="393"/>
      <c r="AL18" s="394"/>
    </row>
    <row r="19" spans="1:38" x14ac:dyDescent="0.2">
      <c r="A19" s="8">
        <v>11150</v>
      </c>
      <c r="B19" s="8" t="s">
        <v>89</v>
      </c>
      <c r="C19" s="8" t="s">
        <v>42</v>
      </c>
      <c r="D19" s="29" t="s">
        <v>1</v>
      </c>
      <c r="E19" s="381"/>
      <c r="F19" s="382">
        <f>'App 6 - Residual Waste'!F19</f>
        <v>1017</v>
      </c>
      <c r="G19" s="383">
        <f t="shared" si="0"/>
        <v>20.079766229663562</v>
      </c>
      <c r="H19" s="384">
        <f t="shared" si="1"/>
        <v>7.947762709569691</v>
      </c>
      <c r="I19" s="385"/>
      <c r="J19" s="386"/>
      <c r="K19" s="387">
        <f>'App 4 - Recyclables'!F19</f>
        <v>0</v>
      </c>
      <c r="L19" s="388"/>
      <c r="M19" s="388"/>
      <c r="N19" s="381"/>
      <c r="O19" s="389">
        <f>'App 5 - Organics'!F19</f>
        <v>0</v>
      </c>
      <c r="P19" s="390"/>
      <c r="Q19" s="391"/>
      <c r="R19" s="392">
        <f>'App 5 - Organics'!J19</f>
        <v>0</v>
      </c>
      <c r="S19" s="393"/>
      <c r="T19" s="394"/>
      <c r="V19" s="395">
        <f>'App 1 - Services'!G19</f>
        <v>1039</v>
      </c>
      <c r="W19" s="396">
        <f>'App 1 - Services'!M19</f>
        <v>974</v>
      </c>
      <c r="X19" s="397">
        <f>'App 1 - Services'!N19</f>
        <v>0</v>
      </c>
      <c r="Y19" s="398">
        <f>'App 1 - Services'!O19</f>
        <v>0</v>
      </c>
      <c r="Z19" s="392">
        <f>'App 1 - Services'!P19</f>
        <v>0</v>
      </c>
      <c r="AA19" s="2">
        <v>1</v>
      </c>
      <c r="AB19" s="399">
        <f>'App 1 - Services'!F19</f>
        <v>2625</v>
      </c>
      <c r="AC19" s="396">
        <f t="shared" si="10"/>
        <v>2460.7795957651588</v>
      </c>
      <c r="AD19" s="397">
        <f t="shared" si="11"/>
        <v>0</v>
      </c>
      <c r="AE19" s="398">
        <f t="shared" si="12"/>
        <v>0</v>
      </c>
      <c r="AF19" s="392">
        <f t="shared" si="13"/>
        <v>0</v>
      </c>
      <c r="AG19" s="400"/>
      <c r="AH19" s="401">
        <f t="shared" si="3"/>
        <v>0</v>
      </c>
      <c r="AI19" s="401">
        <f t="shared" si="4"/>
        <v>0</v>
      </c>
      <c r="AJ19" s="401">
        <f t="shared" si="5"/>
        <v>0</v>
      </c>
      <c r="AK19" s="393"/>
      <c r="AL19" s="394"/>
    </row>
    <row r="20" spans="1:38" x14ac:dyDescent="0.2">
      <c r="A20" s="8">
        <v>11200</v>
      </c>
      <c r="B20" s="8" t="s">
        <v>90</v>
      </c>
      <c r="C20" s="8" t="s">
        <v>42</v>
      </c>
      <c r="D20" s="29" t="s">
        <v>1</v>
      </c>
      <c r="E20" s="381"/>
      <c r="F20" s="382">
        <f>'App 6 - Residual Waste'!F20</f>
        <v>950</v>
      </c>
      <c r="G20" s="383">
        <f t="shared" si="0"/>
        <v>27.472527472527474</v>
      </c>
      <c r="H20" s="384">
        <f t="shared" si="1"/>
        <v>12.825230146543733</v>
      </c>
      <c r="I20" s="385"/>
      <c r="J20" s="386"/>
      <c r="K20" s="387">
        <f>'App 4 - Recyclables'!F20</f>
        <v>0</v>
      </c>
      <c r="L20" s="388"/>
      <c r="M20" s="388"/>
      <c r="N20" s="381"/>
      <c r="O20" s="389">
        <f>'App 5 - Organics'!F20</f>
        <v>0</v>
      </c>
      <c r="P20" s="390"/>
      <c r="Q20" s="391"/>
      <c r="R20" s="392">
        <f>'App 5 - Organics'!J20</f>
        <v>0</v>
      </c>
      <c r="S20" s="393"/>
      <c r="T20" s="394"/>
      <c r="V20" s="395">
        <f>'App 1 - Services'!G20</f>
        <v>725</v>
      </c>
      <c r="W20" s="396">
        <f>'App 1 - Services'!M20</f>
        <v>665</v>
      </c>
      <c r="X20" s="397">
        <f>'App 1 - Services'!N20</f>
        <v>0</v>
      </c>
      <c r="Y20" s="398">
        <f>'App 1 - Services'!O20</f>
        <v>0</v>
      </c>
      <c r="Z20" s="392">
        <f>'App 1 - Services'!P20</f>
        <v>0</v>
      </c>
      <c r="AA20" s="2">
        <v>1</v>
      </c>
      <c r="AB20" s="399">
        <f>'App 1 - Services'!F20</f>
        <v>1553</v>
      </c>
      <c r="AC20" s="396">
        <f t="shared" si="10"/>
        <v>1424.4758620689654</v>
      </c>
      <c r="AD20" s="397">
        <f t="shared" si="11"/>
        <v>0</v>
      </c>
      <c r="AE20" s="398">
        <f t="shared" si="12"/>
        <v>0</v>
      </c>
      <c r="AF20" s="392">
        <f t="shared" si="13"/>
        <v>0</v>
      </c>
      <c r="AG20" s="400"/>
      <c r="AH20" s="401">
        <f t="shared" si="3"/>
        <v>0</v>
      </c>
      <c r="AI20" s="401">
        <f t="shared" si="4"/>
        <v>0</v>
      </c>
      <c r="AJ20" s="401">
        <f t="shared" si="5"/>
        <v>0</v>
      </c>
      <c r="AK20" s="393"/>
      <c r="AL20" s="394"/>
    </row>
    <row r="21" spans="1:38" x14ac:dyDescent="0.2">
      <c r="A21" s="8">
        <v>11250</v>
      </c>
      <c r="B21" s="8" t="s">
        <v>91</v>
      </c>
      <c r="C21" s="8" t="s">
        <v>42</v>
      </c>
      <c r="D21" s="29" t="s">
        <v>1</v>
      </c>
      <c r="E21" s="381"/>
      <c r="F21" s="382">
        <f>'App 6 - Residual Waste'!F21</f>
        <v>9657.44</v>
      </c>
      <c r="G21" s="383">
        <f t="shared" si="0"/>
        <v>20.241961852861035</v>
      </c>
      <c r="H21" s="384">
        <f t="shared" si="1"/>
        <v>12.394377475948382</v>
      </c>
      <c r="I21" s="385"/>
      <c r="J21" s="386"/>
      <c r="K21" s="387">
        <f>'App 4 - Recyclables'!F21</f>
        <v>0</v>
      </c>
      <c r="L21" s="388"/>
      <c r="M21" s="388"/>
      <c r="N21" s="381"/>
      <c r="O21" s="389">
        <f>'App 5 - Organics'!F21</f>
        <v>0</v>
      </c>
      <c r="P21" s="390"/>
      <c r="Q21" s="391"/>
      <c r="R21" s="392">
        <f>'App 5 - Organics'!J21</f>
        <v>2026.72</v>
      </c>
      <c r="S21" s="393">
        <f t="shared" si="8"/>
        <v>4.2226852237686474</v>
      </c>
      <c r="T21" s="394">
        <f t="shared" si="9"/>
        <v>2.5855969399577088</v>
      </c>
      <c r="V21" s="395">
        <f>'App 1 - Services'!G21</f>
        <v>10574</v>
      </c>
      <c r="W21" s="396">
        <f>'App 1 - Services'!M21</f>
        <v>9175</v>
      </c>
      <c r="X21" s="397">
        <f>'App 1 - Services'!N21</f>
        <v>0</v>
      </c>
      <c r="Y21" s="398">
        <f>'App 1 - Services'!O21</f>
        <v>0</v>
      </c>
      <c r="Z21" s="392">
        <f>'App 1 - Services'!P21</f>
        <v>9230</v>
      </c>
      <c r="AB21" s="399">
        <f>'App 1 - Services'!F21</f>
        <v>17269</v>
      </c>
      <c r="AC21" s="396">
        <f t="shared" si="10"/>
        <v>14984.213637223378</v>
      </c>
      <c r="AD21" s="397">
        <f t="shared" si="11"/>
        <v>0</v>
      </c>
      <c r="AE21" s="398">
        <f t="shared" si="12"/>
        <v>0</v>
      </c>
      <c r="AF21" s="392">
        <f t="shared" si="13"/>
        <v>15074.037261206735</v>
      </c>
      <c r="AG21" s="400" t="s">
        <v>14</v>
      </c>
      <c r="AH21" s="401">
        <f t="shared" si="3"/>
        <v>9230</v>
      </c>
      <c r="AI21" s="401">
        <f t="shared" si="4"/>
        <v>15074.037261206735</v>
      </c>
      <c r="AJ21" s="401">
        <f t="shared" si="5"/>
        <v>2026.72</v>
      </c>
      <c r="AK21" s="393"/>
      <c r="AL21" s="394">
        <f>(AJ21*1000)/AF21/52</f>
        <v>2.5855969399577088</v>
      </c>
    </row>
    <row r="22" spans="1:38" x14ac:dyDescent="0.2">
      <c r="A22" s="8">
        <v>11300</v>
      </c>
      <c r="B22" s="8" t="s">
        <v>92</v>
      </c>
      <c r="C22" s="8" t="s">
        <v>18</v>
      </c>
      <c r="D22" s="29" t="s">
        <v>3</v>
      </c>
      <c r="E22" s="381"/>
      <c r="F22" s="382">
        <f>'App 6 - Residual Waste'!F22</f>
        <v>8381.42</v>
      </c>
      <c r="G22" s="383">
        <f t="shared" si="0"/>
        <v>11.358784626226488</v>
      </c>
      <c r="H22" s="384">
        <f t="shared" si="1"/>
        <v>3.991668037420804</v>
      </c>
      <c r="I22" s="385"/>
      <c r="J22" s="386"/>
      <c r="K22" s="387">
        <f>'App 4 - Recyclables'!F22</f>
        <v>2066.87</v>
      </c>
      <c r="L22" s="388">
        <f t="shared" si="6"/>
        <v>2.7677390153889005</v>
      </c>
      <c r="M22" s="388">
        <f t="shared" si="7"/>
        <v>0.97263005921793177</v>
      </c>
      <c r="N22" s="381"/>
      <c r="O22" s="389">
        <f>'App 5 - Organics'!F22</f>
        <v>2494.91</v>
      </c>
      <c r="P22" s="390">
        <f t="shared" si="14"/>
        <v>3.3409260122232758</v>
      </c>
      <c r="Q22" s="391">
        <f t="shared" si="15"/>
        <v>1.1740576141912216</v>
      </c>
      <c r="R22" s="392">
        <f>'App 5 - Organics'!J22</f>
        <v>0</v>
      </c>
      <c r="S22" s="393"/>
      <c r="T22" s="394"/>
      <c r="V22" s="395">
        <f>'App 1 - Services'!G22</f>
        <v>14361</v>
      </c>
      <c r="W22" s="396">
        <f>'App 1 - Services'!M22</f>
        <v>14190</v>
      </c>
      <c r="X22" s="397">
        <f>'App 1 - Services'!N22</f>
        <v>14361</v>
      </c>
      <c r="Y22" s="398">
        <f>'App 1 - Services'!O22</f>
        <v>14361</v>
      </c>
      <c r="Z22" s="392">
        <f>'App 1 - Services'!P22</f>
        <v>0</v>
      </c>
      <c r="AB22" s="399">
        <f>'App 1 - Services'!F22</f>
        <v>40866</v>
      </c>
      <c r="AC22" s="396">
        <f t="shared" si="10"/>
        <v>40379.398370587005</v>
      </c>
      <c r="AD22" s="397">
        <f t="shared" si="11"/>
        <v>40866</v>
      </c>
      <c r="AE22" s="398">
        <f t="shared" si="12"/>
        <v>40866</v>
      </c>
      <c r="AF22" s="392">
        <f t="shared" si="13"/>
        <v>0</v>
      </c>
      <c r="AG22" s="400"/>
      <c r="AH22" s="401">
        <f t="shared" si="3"/>
        <v>14361</v>
      </c>
      <c r="AI22" s="401">
        <f t="shared" si="4"/>
        <v>40866</v>
      </c>
      <c r="AJ22" s="401">
        <f t="shared" si="5"/>
        <v>2494.91</v>
      </c>
      <c r="AK22" s="393">
        <f>(AJ22*1000)/AE22/52</f>
        <v>1.1740576141912216</v>
      </c>
      <c r="AL22" s="394"/>
    </row>
    <row r="23" spans="1:38" x14ac:dyDescent="0.2">
      <c r="A23" s="8">
        <v>11350</v>
      </c>
      <c r="B23" s="8" t="s">
        <v>93</v>
      </c>
      <c r="C23" s="8" t="s">
        <v>20</v>
      </c>
      <c r="D23" s="29" t="s">
        <v>4</v>
      </c>
      <c r="E23" s="381"/>
      <c r="F23" s="382">
        <f>'App 6 - Residual Waste'!F23</f>
        <v>6191</v>
      </c>
      <c r="G23" s="383">
        <f t="shared" si="0"/>
        <v>8.3991317324650669</v>
      </c>
      <c r="H23" s="384">
        <f t="shared" si="1"/>
        <v>3.4131377853365574</v>
      </c>
      <c r="I23" s="385"/>
      <c r="J23" s="386"/>
      <c r="K23" s="387">
        <f>'App 4 - Recyclables'!F23</f>
        <v>5147</v>
      </c>
      <c r="L23" s="388">
        <f t="shared" si="6"/>
        <v>7.0154347743120873</v>
      </c>
      <c r="M23" s="388">
        <f t="shared" si="7"/>
        <v>2.8508477151531824</v>
      </c>
      <c r="N23" s="381"/>
      <c r="O23" s="389">
        <f>'App 5 - Organics'!F23</f>
        <v>0</v>
      </c>
      <c r="P23" s="390"/>
      <c r="Q23" s="391"/>
      <c r="R23" s="392">
        <f>'App 5 - Organics'!J23</f>
        <v>5661</v>
      </c>
      <c r="S23" s="393">
        <f t="shared" si="8"/>
        <v>10.018901584335046</v>
      </c>
      <c r="T23" s="394">
        <f t="shared" si="9"/>
        <v>4.0713603089335129</v>
      </c>
      <c r="V23" s="395">
        <f>'App 1 - Services'!G23</f>
        <v>14537</v>
      </c>
      <c r="W23" s="396">
        <f>'App 1 - Services'!M23</f>
        <v>14175</v>
      </c>
      <c r="X23" s="397">
        <f>'App 1 - Services'!N23</f>
        <v>14109</v>
      </c>
      <c r="Y23" s="398">
        <f>'App 1 - Services'!O23</f>
        <v>0</v>
      </c>
      <c r="Z23" s="392">
        <f>'App 1 - Services'!P23</f>
        <v>10866</v>
      </c>
      <c r="AB23" s="399">
        <f>'App 1 - Services'!F23</f>
        <v>35773</v>
      </c>
      <c r="AC23" s="396">
        <f t="shared" si="10"/>
        <v>34882.181674348212</v>
      </c>
      <c r="AD23" s="397">
        <f t="shared" si="11"/>
        <v>34719.767283483525</v>
      </c>
      <c r="AE23" s="398">
        <f t="shared" si="12"/>
        <v>0</v>
      </c>
      <c r="AF23" s="392">
        <f t="shared" si="13"/>
        <v>26739.314714177617</v>
      </c>
      <c r="AG23" s="400" t="s">
        <v>14</v>
      </c>
      <c r="AH23" s="401">
        <f t="shared" si="3"/>
        <v>10866</v>
      </c>
      <c r="AI23" s="401">
        <f t="shared" si="4"/>
        <v>26739.314714177617</v>
      </c>
      <c r="AJ23" s="401">
        <f t="shared" si="5"/>
        <v>5661</v>
      </c>
      <c r="AK23" s="393"/>
      <c r="AL23" s="394">
        <f>(AJ23*1000)/AF23/52</f>
        <v>4.0713603089335129</v>
      </c>
    </row>
    <row r="24" spans="1:38" x14ac:dyDescent="0.2">
      <c r="A24" s="8">
        <v>11400</v>
      </c>
      <c r="B24" s="8" t="s">
        <v>94</v>
      </c>
      <c r="C24" s="8" t="s">
        <v>42</v>
      </c>
      <c r="D24" s="29" t="s">
        <v>1</v>
      </c>
      <c r="E24" s="381"/>
      <c r="F24" s="382">
        <f>'App 6 - Residual Waste'!F24</f>
        <v>2298.4299999999998</v>
      </c>
      <c r="G24" s="383">
        <f t="shared" si="0"/>
        <v>11.975230810912198</v>
      </c>
      <c r="H24" s="384">
        <f t="shared" si="1"/>
        <v>6.5107710981898874</v>
      </c>
      <c r="I24" s="385"/>
      <c r="J24" s="386"/>
      <c r="K24" s="387">
        <f>'App 4 - Recyclables'!F24</f>
        <v>619.36</v>
      </c>
      <c r="L24" s="388">
        <f t="shared" si="6"/>
        <v>3.2269762207448474</v>
      </c>
      <c r="M24" s="388">
        <f t="shared" si="7"/>
        <v>1.7544633455771501</v>
      </c>
      <c r="N24" s="381"/>
      <c r="O24" s="389">
        <f>'App 5 - Organics'!F24</f>
        <v>0</v>
      </c>
      <c r="P24" s="390"/>
      <c r="Q24" s="391"/>
      <c r="R24" s="392">
        <f>'App 5 - Organics'!J24</f>
        <v>0</v>
      </c>
      <c r="S24" s="393"/>
      <c r="T24" s="394"/>
      <c r="V24" s="395">
        <f>'App 1 - Services'!G24</f>
        <v>7436</v>
      </c>
      <c r="W24" s="396">
        <f>'App 1 - Services'!M24</f>
        <v>3691</v>
      </c>
      <c r="X24" s="397">
        <f>'App 1 - Services'!N24</f>
        <v>3691</v>
      </c>
      <c r="Y24" s="398">
        <f>'App 1 - Services'!O24</f>
        <v>0</v>
      </c>
      <c r="Z24" s="392">
        <f>'App 1 - Services'!P24</f>
        <v>0</v>
      </c>
      <c r="AA24" s="2">
        <v>1</v>
      </c>
      <c r="AB24" s="399">
        <f>'App 1 - Services'!F24</f>
        <v>13677</v>
      </c>
      <c r="AC24" s="396">
        <f t="shared" si="10"/>
        <v>6788.8390263582578</v>
      </c>
      <c r="AD24" s="397">
        <f t="shared" si="11"/>
        <v>6788.8390263582578</v>
      </c>
      <c r="AE24" s="398">
        <f t="shared" si="12"/>
        <v>0</v>
      </c>
      <c r="AF24" s="392">
        <f t="shared" si="13"/>
        <v>0</v>
      </c>
      <c r="AG24" s="400"/>
      <c r="AH24" s="401">
        <f t="shared" si="3"/>
        <v>0</v>
      </c>
      <c r="AI24" s="401">
        <f t="shared" si="4"/>
        <v>0</v>
      </c>
      <c r="AJ24" s="401">
        <f t="shared" si="5"/>
        <v>0</v>
      </c>
      <c r="AK24" s="393"/>
      <c r="AL24" s="394"/>
    </row>
    <row r="25" spans="1:38" x14ac:dyDescent="0.2">
      <c r="A25" s="8">
        <v>11450</v>
      </c>
      <c r="B25" s="8" t="s">
        <v>76</v>
      </c>
      <c r="C25" s="8" t="s">
        <v>193</v>
      </c>
      <c r="D25" s="29" t="s">
        <v>3</v>
      </c>
      <c r="E25" s="381"/>
      <c r="F25" s="382">
        <f>'App 6 - Residual Waste'!F25</f>
        <v>25837.360000000001</v>
      </c>
      <c r="G25" s="383">
        <f t="shared" si="0"/>
        <v>13.126365352608978</v>
      </c>
      <c r="H25" s="384">
        <f t="shared" si="1"/>
        <v>5.0706591943806565</v>
      </c>
      <c r="I25" s="385"/>
      <c r="J25" s="386"/>
      <c r="K25" s="387">
        <f>'App 4 - Recyclables'!F25</f>
        <v>10415.84</v>
      </c>
      <c r="L25" s="388">
        <f t="shared" si="6"/>
        <v>5.608417062427983</v>
      </c>
      <c r="M25" s="388">
        <f t="shared" si="7"/>
        <v>2.1665076949781397</v>
      </c>
      <c r="N25" s="381"/>
      <c r="O25" s="389">
        <f>'App 5 - Organics'!F25</f>
        <v>13478.45</v>
      </c>
      <c r="P25" s="390">
        <f t="shared" si="14"/>
        <v>7.2574817734414543</v>
      </c>
      <c r="Q25" s="391">
        <f t="shared" si="15"/>
        <v>2.8035343900614933</v>
      </c>
      <c r="R25" s="392">
        <f>'App 5 - Organics'!J25</f>
        <v>0</v>
      </c>
      <c r="S25" s="393"/>
      <c r="T25" s="394"/>
      <c r="V25" s="395">
        <f>'App 1 - Services'!G25</f>
        <v>41645</v>
      </c>
      <c r="W25" s="396">
        <f>'App 1 - Services'!M25</f>
        <v>37853</v>
      </c>
      <c r="X25" s="397">
        <f>'App 1 - Services'!N25</f>
        <v>35715</v>
      </c>
      <c r="Y25" s="398">
        <f>'App 1 - Services'!O25</f>
        <v>35715</v>
      </c>
      <c r="Z25" s="392">
        <f>'App 1 - Services'!P25</f>
        <v>0</v>
      </c>
      <c r="AB25" s="399">
        <f>'App 1 - Services'!F25</f>
        <v>107806</v>
      </c>
      <c r="AC25" s="396">
        <f t="shared" si="10"/>
        <v>97989.687069276013</v>
      </c>
      <c r="AD25" s="397">
        <f t="shared" si="11"/>
        <v>92455.067595149478</v>
      </c>
      <c r="AE25" s="398">
        <f t="shared" si="12"/>
        <v>92455.067595149478</v>
      </c>
      <c r="AF25" s="392">
        <f t="shared" si="13"/>
        <v>0</v>
      </c>
      <c r="AG25" s="400"/>
      <c r="AH25" s="401">
        <f t="shared" si="3"/>
        <v>35715</v>
      </c>
      <c r="AI25" s="401">
        <f t="shared" si="4"/>
        <v>92455.067595149478</v>
      </c>
      <c r="AJ25" s="401">
        <f t="shared" si="5"/>
        <v>13478.45</v>
      </c>
      <c r="AK25" s="393">
        <f>(AJ25*1000)/AE25/52</f>
        <v>2.8035343900614933</v>
      </c>
      <c r="AL25" s="394"/>
    </row>
    <row r="26" spans="1:38" x14ac:dyDescent="0.2">
      <c r="A26" s="8">
        <v>11500</v>
      </c>
      <c r="B26" s="8" t="s">
        <v>53</v>
      </c>
      <c r="C26" s="8" t="s">
        <v>193</v>
      </c>
      <c r="D26" s="29" t="s">
        <v>3</v>
      </c>
      <c r="E26" s="403"/>
      <c r="F26" s="382">
        <f>'App 6 - Residual Waste'!F26</f>
        <v>37858.54</v>
      </c>
      <c r="G26" s="383">
        <f t="shared" si="0"/>
        <v>12.234470090640688</v>
      </c>
      <c r="H26" s="384">
        <f t="shared" si="1"/>
        <v>4.4751771218737924</v>
      </c>
      <c r="I26" s="385"/>
      <c r="J26" s="386"/>
      <c r="K26" s="387">
        <f>'App 4 - Recyclables'!F26</f>
        <v>11647.52</v>
      </c>
      <c r="L26" s="388">
        <f t="shared" si="6"/>
        <v>3.7640446533368492</v>
      </c>
      <c r="M26" s="388">
        <f t="shared" si="7"/>
        <v>1.3768284521951304</v>
      </c>
      <c r="N26" s="381"/>
      <c r="O26" s="389">
        <f>'App 5 - Organics'!F26</f>
        <v>19111.18</v>
      </c>
      <c r="P26" s="390">
        <f t="shared" si="14"/>
        <v>6.3437074705737864</v>
      </c>
      <c r="Q26" s="391">
        <f t="shared" si="15"/>
        <v>2.320428619290122</v>
      </c>
      <c r="R26" s="392">
        <f>'App 5 - Organics'!J26</f>
        <v>0</v>
      </c>
      <c r="S26" s="393"/>
      <c r="T26" s="394"/>
      <c r="V26" s="395">
        <f>'App 1 - Services'!G26</f>
        <v>63675</v>
      </c>
      <c r="W26" s="396">
        <f>'App 1 - Services'!M26</f>
        <v>59508</v>
      </c>
      <c r="X26" s="397">
        <f>'App 1 - Services'!N26</f>
        <v>59508</v>
      </c>
      <c r="Y26" s="398">
        <f>'App 1 - Services'!O26</f>
        <v>57935</v>
      </c>
      <c r="Z26" s="392">
        <f>'App 1 - Services'!P26</f>
        <v>0</v>
      </c>
      <c r="AB26" s="399">
        <f>'App 1 - Services'!F26</f>
        <v>174078</v>
      </c>
      <c r="AC26" s="396">
        <f t="shared" si="10"/>
        <v>162686.04042402827</v>
      </c>
      <c r="AD26" s="397">
        <f t="shared" si="11"/>
        <v>162686.04042402827</v>
      </c>
      <c r="AE26" s="398">
        <f t="shared" si="12"/>
        <v>158385.6918727915</v>
      </c>
      <c r="AF26" s="392">
        <f t="shared" si="13"/>
        <v>0</v>
      </c>
      <c r="AG26" s="400"/>
      <c r="AH26" s="401">
        <f t="shared" si="3"/>
        <v>57935</v>
      </c>
      <c r="AI26" s="401">
        <f t="shared" si="4"/>
        <v>158385.6918727915</v>
      </c>
      <c r="AJ26" s="401">
        <f t="shared" si="5"/>
        <v>19111.18</v>
      </c>
      <c r="AK26" s="393">
        <f>(AJ26*1000)/AE26/52</f>
        <v>2.320428619290122</v>
      </c>
      <c r="AL26" s="394"/>
    </row>
    <row r="27" spans="1:38" x14ac:dyDescent="0.2">
      <c r="A27" s="8">
        <v>11520</v>
      </c>
      <c r="B27" s="8" t="s">
        <v>95</v>
      </c>
      <c r="C27" s="8" t="s">
        <v>18</v>
      </c>
      <c r="D27" s="29" t="s">
        <v>3</v>
      </c>
      <c r="E27" s="404"/>
      <c r="F27" s="382">
        <f>'App 6 - Residual Waste'!F27</f>
        <v>18584.47</v>
      </c>
      <c r="G27" s="383">
        <f t="shared" si="0"/>
        <v>9.5926578588226068</v>
      </c>
      <c r="H27" s="384">
        <f t="shared" si="1"/>
        <v>3.8096413561749762</v>
      </c>
      <c r="I27" s="385"/>
      <c r="J27" s="386"/>
      <c r="K27" s="387">
        <f>'App 4 - Recyclables'!F27</f>
        <v>6702</v>
      </c>
      <c r="L27" s="388">
        <f t="shared" si="6"/>
        <v>3.3612720473767834</v>
      </c>
      <c r="M27" s="388">
        <f t="shared" si="7"/>
        <v>1.3349002111301438</v>
      </c>
      <c r="N27" s="381"/>
      <c r="O27" s="389">
        <f>'App 5 - Organics'!F27</f>
        <v>4946</v>
      </c>
      <c r="P27" s="390">
        <f t="shared" si="14"/>
        <v>2.4805806544800912</v>
      </c>
      <c r="Q27" s="391">
        <f t="shared" si="15"/>
        <v>0.9851412181810939</v>
      </c>
      <c r="R27" s="392">
        <f>'App 5 - Organics'!J27</f>
        <v>0</v>
      </c>
      <c r="S27" s="393"/>
      <c r="T27" s="394"/>
      <c r="V27" s="395">
        <f>'App 1 - Services'!G27</f>
        <v>38344</v>
      </c>
      <c r="W27" s="396">
        <f>'App 1 - Services'!M27</f>
        <v>37257</v>
      </c>
      <c r="X27" s="397">
        <f>'App 1 - Services'!N27</f>
        <v>38344</v>
      </c>
      <c r="Y27" s="398">
        <f>'App 1 - Services'!O27</f>
        <v>38344</v>
      </c>
      <c r="Z27" s="392">
        <f>'App 1 - Services'!P27</f>
        <v>0</v>
      </c>
      <c r="AB27" s="399">
        <f>'App 1 - Services'!F27</f>
        <v>96550</v>
      </c>
      <c r="AC27" s="396">
        <f t="shared" si="10"/>
        <v>93812.939442937626</v>
      </c>
      <c r="AD27" s="397">
        <f t="shared" si="11"/>
        <v>96550</v>
      </c>
      <c r="AE27" s="398">
        <f t="shared" si="12"/>
        <v>96550</v>
      </c>
      <c r="AF27" s="392">
        <f t="shared" si="13"/>
        <v>0</v>
      </c>
      <c r="AG27" s="400"/>
      <c r="AH27" s="401">
        <f t="shared" si="3"/>
        <v>38344</v>
      </c>
      <c r="AI27" s="401">
        <f t="shared" si="4"/>
        <v>96550</v>
      </c>
      <c r="AJ27" s="401">
        <f t="shared" si="5"/>
        <v>4946</v>
      </c>
      <c r="AK27" s="393">
        <f>(AJ27*1000)/AE27/52</f>
        <v>0.9851412181810939</v>
      </c>
      <c r="AL27" s="394"/>
    </row>
    <row r="28" spans="1:38" x14ac:dyDescent="0.2">
      <c r="A28" s="8">
        <v>11570</v>
      </c>
      <c r="B28" s="8" t="s">
        <v>96</v>
      </c>
      <c r="C28" s="8" t="s">
        <v>18</v>
      </c>
      <c r="D28" s="29" t="s">
        <v>3</v>
      </c>
      <c r="E28" s="405"/>
      <c r="F28" s="382">
        <f>'App 6 - Residual Waste'!F28</f>
        <v>87854</v>
      </c>
      <c r="G28" s="383">
        <f t="shared" si="0"/>
        <v>13.085234093637455</v>
      </c>
      <c r="H28" s="384">
        <f t="shared" si="1"/>
        <v>4.7332095090997708</v>
      </c>
      <c r="I28" s="385"/>
      <c r="J28" s="386"/>
      <c r="K28" s="387">
        <f>'App 4 - Recyclables'!F28</f>
        <v>21733</v>
      </c>
      <c r="L28" s="388">
        <f t="shared" si="6"/>
        <v>3.2369771730031967</v>
      </c>
      <c r="M28" s="388">
        <f t="shared" si="7"/>
        <v>1.1708839923198182</v>
      </c>
      <c r="N28" s="381"/>
      <c r="O28" s="389">
        <f>'App 5 - Organics'!F28</f>
        <v>28421</v>
      </c>
      <c r="P28" s="390">
        <f t="shared" si="14"/>
        <v>5.8705257922245746</v>
      </c>
      <c r="Q28" s="391">
        <f t="shared" si="15"/>
        <v>2.1234949489121981</v>
      </c>
      <c r="R28" s="392">
        <f>'App 5 - Organics'!J28</f>
        <v>0</v>
      </c>
      <c r="S28" s="393"/>
      <c r="T28" s="394"/>
      <c r="V28" s="395">
        <f>'App 1 - Services'!G28</f>
        <v>137601</v>
      </c>
      <c r="W28" s="396">
        <f>'App 1 - Services'!M28</f>
        <v>129115</v>
      </c>
      <c r="X28" s="397">
        <f>'App 1 - Services'!N28</f>
        <v>129115</v>
      </c>
      <c r="Y28" s="398">
        <f>'App 1 - Services'!O28</f>
        <v>93102</v>
      </c>
      <c r="Z28" s="392">
        <f>'App 1 - Services'!P28</f>
        <v>0</v>
      </c>
      <c r="AB28" s="399">
        <f>'App 1 - Services'!F28</f>
        <v>380406</v>
      </c>
      <c r="AC28" s="396">
        <f t="shared" si="10"/>
        <v>356945.95744216978</v>
      </c>
      <c r="AD28" s="397">
        <f t="shared" si="11"/>
        <v>356945.95744216978</v>
      </c>
      <c r="AE28" s="398">
        <f t="shared" si="12"/>
        <v>257385.91588723919</v>
      </c>
      <c r="AF28" s="392">
        <f t="shared" si="13"/>
        <v>0</v>
      </c>
      <c r="AG28" s="400"/>
      <c r="AH28" s="401">
        <f t="shared" si="3"/>
        <v>93102</v>
      </c>
      <c r="AI28" s="401">
        <f t="shared" si="4"/>
        <v>257385.91588723919</v>
      </c>
      <c r="AJ28" s="401">
        <f t="shared" si="5"/>
        <v>28421</v>
      </c>
      <c r="AK28" s="393">
        <f>(AJ28*1000)/AE28/52</f>
        <v>2.1234949489121981</v>
      </c>
      <c r="AL28" s="394"/>
    </row>
    <row r="29" spans="1:38" x14ac:dyDescent="0.2">
      <c r="A29" s="8">
        <v>11600</v>
      </c>
      <c r="B29" s="8" t="s">
        <v>97</v>
      </c>
      <c r="C29" s="8" t="s">
        <v>75</v>
      </c>
      <c r="D29" s="29" t="s">
        <v>1</v>
      </c>
      <c r="E29" s="405"/>
      <c r="F29" s="382">
        <f>'App 6 - Residual Waste'!F29</f>
        <v>750</v>
      </c>
      <c r="G29" s="383">
        <f t="shared" si="0"/>
        <v>23.722165991902834</v>
      </c>
      <c r="H29" s="384">
        <f t="shared" si="1"/>
        <v>11.39444525290612</v>
      </c>
      <c r="I29" s="385"/>
      <c r="J29" s="386"/>
      <c r="K29" s="387">
        <f>'App 4 - Recyclables'!F29</f>
        <v>0</v>
      </c>
      <c r="L29" s="388"/>
      <c r="M29" s="388"/>
      <c r="N29" s="381"/>
      <c r="O29" s="389">
        <f>'App 5 - Organics'!F29</f>
        <v>0</v>
      </c>
      <c r="P29" s="390"/>
      <c r="Q29" s="391"/>
      <c r="R29" s="392">
        <f>'App 5 - Organics'!J29</f>
        <v>0</v>
      </c>
      <c r="S29" s="393"/>
      <c r="T29" s="394"/>
      <c r="V29" s="395">
        <f>'App 1 - Services'!G29</f>
        <v>1343</v>
      </c>
      <c r="W29" s="396">
        <f>'App 1 - Services'!M29</f>
        <v>608</v>
      </c>
      <c r="X29" s="397">
        <f>'App 1 - Services'!N29</f>
        <v>0</v>
      </c>
      <c r="Y29" s="398">
        <f>'App 1 - Services'!O29</f>
        <v>0</v>
      </c>
      <c r="Z29" s="392">
        <f>'App 1 - Services'!P29</f>
        <v>0</v>
      </c>
      <c r="AA29" s="2">
        <v>1</v>
      </c>
      <c r="AB29" s="399">
        <f>'App 1 - Services'!F29</f>
        <v>2796</v>
      </c>
      <c r="AC29" s="396">
        <f t="shared" si="10"/>
        <v>1265.7989575577064</v>
      </c>
      <c r="AD29" s="397">
        <f t="shared" si="11"/>
        <v>0</v>
      </c>
      <c r="AE29" s="398">
        <f t="shared" si="12"/>
        <v>0</v>
      </c>
      <c r="AF29" s="392">
        <f t="shared" si="13"/>
        <v>0</v>
      </c>
      <c r="AG29" s="400"/>
      <c r="AH29" s="401">
        <f t="shared" si="3"/>
        <v>0</v>
      </c>
      <c r="AI29" s="401">
        <f t="shared" si="4"/>
        <v>0</v>
      </c>
      <c r="AJ29" s="401">
        <f t="shared" si="5"/>
        <v>0</v>
      </c>
      <c r="AK29" s="393"/>
      <c r="AL29" s="394"/>
    </row>
    <row r="30" spans="1:38" x14ac:dyDescent="0.2">
      <c r="A30" s="8">
        <v>11650</v>
      </c>
      <c r="B30" s="8" t="s">
        <v>98</v>
      </c>
      <c r="C30" s="8" t="s">
        <v>25</v>
      </c>
      <c r="D30" s="29" t="s">
        <v>2</v>
      </c>
      <c r="E30" s="405"/>
      <c r="F30" s="382">
        <f>'App 6 - Residual Waste'!F30</f>
        <v>82700</v>
      </c>
      <c r="G30" s="383">
        <f t="shared" si="0"/>
        <v>11.827850569195643</v>
      </c>
      <c r="H30" s="384">
        <f t="shared" si="1"/>
        <v>4.5990260964423006</v>
      </c>
      <c r="I30" s="385"/>
      <c r="J30" s="386"/>
      <c r="K30" s="387">
        <f>'App 4 - Recyclables'!F30</f>
        <v>28110</v>
      </c>
      <c r="L30" s="388">
        <f t="shared" si="6"/>
        <v>4.2081342291524448</v>
      </c>
      <c r="M30" s="388">
        <f t="shared" si="7"/>
        <v>1.6362498853010385</v>
      </c>
      <c r="N30" s="381"/>
      <c r="O30" s="389">
        <f>'App 5 - Organics'!F30</f>
        <v>42368</v>
      </c>
      <c r="P30" s="390">
        <f t="shared" si="14"/>
        <v>6.530797470055874</v>
      </c>
      <c r="Q30" s="391">
        <f t="shared" si="15"/>
        <v>2.5393716144495455</v>
      </c>
      <c r="R30" s="392">
        <f>'App 5 - Organics'!J30</f>
        <v>0</v>
      </c>
      <c r="S30" s="393"/>
      <c r="T30" s="394"/>
      <c r="V30" s="395">
        <f>'App 1 - Services'!G30</f>
        <v>134461</v>
      </c>
      <c r="W30" s="396">
        <f>'App 1 - Services'!M30</f>
        <v>134461</v>
      </c>
      <c r="X30" s="397">
        <f>'App 1 - Services'!N30</f>
        <v>128460</v>
      </c>
      <c r="Y30" s="398">
        <f>'App 1 - Services'!O30</f>
        <v>124758</v>
      </c>
      <c r="Z30" s="392">
        <f>'App 1 - Services'!P30</f>
        <v>0</v>
      </c>
      <c r="AB30" s="399">
        <f>'App 1 - Services'!F30</f>
        <v>345809</v>
      </c>
      <c r="AC30" s="396">
        <f t="shared" si="10"/>
        <v>345809</v>
      </c>
      <c r="AD30" s="397">
        <f t="shared" si="11"/>
        <v>330375.53000498289</v>
      </c>
      <c r="AE30" s="398">
        <f t="shared" si="12"/>
        <v>320854.66582875332</v>
      </c>
      <c r="AF30" s="392">
        <f t="shared" si="13"/>
        <v>0</v>
      </c>
      <c r="AG30" s="400"/>
      <c r="AH30" s="401">
        <f t="shared" si="3"/>
        <v>124758</v>
      </c>
      <c r="AI30" s="401">
        <f t="shared" si="4"/>
        <v>320854.66582875332</v>
      </c>
      <c r="AJ30" s="401">
        <f t="shared" si="5"/>
        <v>42368</v>
      </c>
      <c r="AK30" s="393">
        <f>(AJ30*1000)/AE30/52</f>
        <v>2.5393716144495455</v>
      </c>
      <c r="AL30" s="394"/>
    </row>
    <row r="31" spans="1:38" x14ac:dyDescent="0.2">
      <c r="A31" s="8">
        <v>11700</v>
      </c>
      <c r="B31" s="8" t="s">
        <v>99</v>
      </c>
      <c r="C31" s="8" t="s">
        <v>42</v>
      </c>
      <c r="D31" s="29" t="s">
        <v>1</v>
      </c>
      <c r="E31" s="405"/>
      <c r="F31" s="382">
        <f>'App 6 - Residual Waste'!F31</f>
        <v>435</v>
      </c>
      <c r="G31" s="383">
        <f t="shared" si="0"/>
        <v>11.63474911736386</v>
      </c>
      <c r="H31" s="384">
        <f t="shared" si="1"/>
        <v>12.423545667693615</v>
      </c>
      <c r="I31" s="385"/>
      <c r="J31" s="386"/>
      <c r="K31" s="387">
        <f>'App 4 - Recyclables'!F31</f>
        <v>0</v>
      </c>
      <c r="L31" s="388"/>
      <c r="M31" s="388"/>
      <c r="N31" s="381"/>
      <c r="O31" s="389">
        <f>'App 5 - Organics'!F31</f>
        <v>0</v>
      </c>
      <c r="P31" s="390"/>
      <c r="Q31" s="391"/>
      <c r="R31" s="392">
        <f>'App 5 - Organics'!J31</f>
        <v>0</v>
      </c>
      <c r="S31" s="393"/>
      <c r="T31" s="394"/>
      <c r="V31" s="395">
        <f>'App 1 - Services'!G31</f>
        <v>1953</v>
      </c>
      <c r="W31" s="396">
        <f>'App 1 - Services'!M31</f>
        <v>719</v>
      </c>
      <c r="X31" s="397">
        <f>'App 1 - Services'!N31</f>
        <v>0</v>
      </c>
      <c r="Y31" s="398">
        <f>'App 1 - Services'!O31</f>
        <v>0</v>
      </c>
      <c r="Z31" s="392">
        <f>'App 1 - Services'!P31</f>
        <v>0</v>
      </c>
      <c r="AA31" s="2">
        <v>1</v>
      </c>
      <c r="AB31" s="399">
        <f>'App 1 - Services'!F31</f>
        <v>1829</v>
      </c>
      <c r="AC31" s="396">
        <f t="shared" si="10"/>
        <v>673.34920634920627</v>
      </c>
      <c r="AD31" s="397">
        <f t="shared" si="11"/>
        <v>0</v>
      </c>
      <c r="AE31" s="398">
        <f t="shared" si="12"/>
        <v>0</v>
      </c>
      <c r="AF31" s="392">
        <f t="shared" si="13"/>
        <v>0</v>
      </c>
      <c r="AG31" s="400"/>
      <c r="AH31" s="401">
        <f t="shared" si="3"/>
        <v>0</v>
      </c>
      <c r="AI31" s="401">
        <f t="shared" si="4"/>
        <v>0</v>
      </c>
      <c r="AJ31" s="401">
        <f t="shared" si="5"/>
        <v>0</v>
      </c>
      <c r="AK31" s="393"/>
      <c r="AL31" s="394"/>
    </row>
    <row r="32" spans="1:38" x14ac:dyDescent="0.2">
      <c r="A32" s="8">
        <v>11720</v>
      </c>
      <c r="B32" s="8" t="s">
        <v>100</v>
      </c>
      <c r="C32" s="8" t="s">
        <v>25</v>
      </c>
      <c r="D32" s="29" t="s">
        <v>2</v>
      </c>
      <c r="E32" s="405"/>
      <c r="F32" s="382">
        <f>'App 6 - Residual Waste'!F32</f>
        <v>16422</v>
      </c>
      <c r="G32" s="383">
        <f t="shared" si="0"/>
        <v>13.314544976925346</v>
      </c>
      <c r="H32" s="384">
        <f t="shared" si="1"/>
        <v>6.1899505657058906</v>
      </c>
      <c r="I32" s="385"/>
      <c r="J32" s="386"/>
      <c r="K32" s="387">
        <f>'App 4 - Recyclables'!F32</f>
        <v>3968.99</v>
      </c>
      <c r="L32" s="388">
        <f t="shared" si="6"/>
        <v>3.1849251312009503</v>
      </c>
      <c r="M32" s="388">
        <f t="shared" si="7"/>
        <v>1.4806761441547056</v>
      </c>
      <c r="N32" s="381"/>
      <c r="O32" s="389">
        <f>'App 5 - Organics'!F32</f>
        <v>7223.17</v>
      </c>
      <c r="P32" s="390">
        <f t="shared" si="14"/>
        <v>5.8281075515908105</v>
      </c>
      <c r="Q32" s="391">
        <f t="shared" si="15"/>
        <v>2.709495345014417</v>
      </c>
      <c r="R32" s="392">
        <f>'App 5 - Organics'!J32</f>
        <v>0</v>
      </c>
      <c r="S32" s="393"/>
      <c r="T32" s="394"/>
      <c r="V32" s="395">
        <f>'App 1 - Services'!G32</f>
        <v>28478</v>
      </c>
      <c r="W32" s="396">
        <f>'App 1 - Services'!M32</f>
        <v>23719</v>
      </c>
      <c r="X32" s="397">
        <f>'App 1 - Services'!N32</f>
        <v>23965</v>
      </c>
      <c r="Y32" s="398">
        <f>'App 1 - Services'!O32</f>
        <v>23834</v>
      </c>
      <c r="Z32" s="392">
        <f>'App 1 - Services'!P32</f>
        <v>0</v>
      </c>
      <c r="AB32" s="399">
        <f>'App 1 - Services'!F32</f>
        <v>61256</v>
      </c>
      <c r="AC32" s="396">
        <f t="shared" si="10"/>
        <v>51019.420745838892</v>
      </c>
      <c r="AD32" s="397">
        <f t="shared" si="11"/>
        <v>51548.565208230917</v>
      </c>
      <c r="AE32" s="398">
        <f t="shared" si="12"/>
        <v>51266.785027038415</v>
      </c>
      <c r="AF32" s="392">
        <f t="shared" si="13"/>
        <v>0</v>
      </c>
      <c r="AG32" s="400"/>
      <c r="AH32" s="401">
        <f t="shared" si="3"/>
        <v>23834</v>
      </c>
      <c r="AI32" s="401">
        <f t="shared" si="4"/>
        <v>51266.785027038415</v>
      </c>
      <c r="AJ32" s="401">
        <f t="shared" si="5"/>
        <v>7223.17</v>
      </c>
      <c r="AK32" s="393">
        <f>(AJ32*1000)/AE32/52</f>
        <v>2.709495345014417</v>
      </c>
      <c r="AL32" s="394"/>
    </row>
    <row r="33" spans="1:38" x14ac:dyDescent="0.2">
      <c r="A33" s="8">
        <v>11730</v>
      </c>
      <c r="B33" s="8" t="s">
        <v>101</v>
      </c>
      <c r="C33" s="8" t="s">
        <v>20</v>
      </c>
      <c r="D33" s="29" t="s">
        <v>4</v>
      </c>
      <c r="E33" s="405"/>
      <c r="F33" s="382">
        <f>'App 6 - Residual Waste'!F33</f>
        <v>8421</v>
      </c>
      <c r="G33" s="383">
        <f t="shared" si="0"/>
        <v>7.1299391402416097</v>
      </c>
      <c r="H33" s="384">
        <f t="shared" si="1"/>
        <v>3.6927378589861442</v>
      </c>
      <c r="I33" s="385"/>
      <c r="J33" s="386"/>
      <c r="K33" s="387">
        <f>'App 4 - Recyclables'!F33</f>
        <v>5118</v>
      </c>
      <c r="L33" s="388">
        <f t="shared" si="6"/>
        <v>4.4171563110617056</v>
      </c>
      <c r="M33" s="388">
        <f t="shared" si="7"/>
        <v>2.2877334600031936</v>
      </c>
      <c r="N33" s="381"/>
      <c r="O33" s="389">
        <f>'App 5 - Organics'!F33</f>
        <v>0</v>
      </c>
      <c r="P33" s="390"/>
      <c r="Q33" s="391"/>
      <c r="R33" s="392">
        <f>'App 5 - Organics'!J33</f>
        <v>8506</v>
      </c>
      <c r="S33" s="393">
        <f t="shared" si="8"/>
        <v>8.9818209464596457</v>
      </c>
      <c r="T33" s="394">
        <f t="shared" si="9"/>
        <v>4.6518644267842033</v>
      </c>
      <c r="V33" s="395">
        <f>'App 1 - Services'!G33</f>
        <v>26792</v>
      </c>
      <c r="W33" s="396">
        <f>'App 1 - Services'!M33</f>
        <v>22713</v>
      </c>
      <c r="X33" s="397">
        <f>'App 1 - Services'!N33</f>
        <v>22282</v>
      </c>
      <c r="Y33" s="398">
        <f>'App 1 - Services'!O33</f>
        <v>0</v>
      </c>
      <c r="Z33" s="392">
        <f>'App 1 - Services'!P33</f>
        <v>18212</v>
      </c>
      <c r="AB33" s="399">
        <f>'App 1 - Services'!F33</f>
        <v>51730</v>
      </c>
      <c r="AC33" s="396">
        <f t="shared" si="10"/>
        <v>43854.265825619586</v>
      </c>
      <c r="AD33" s="397">
        <f t="shared" si="11"/>
        <v>43022.090922663483</v>
      </c>
      <c r="AE33" s="398">
        <f t="shared" si="12"/>
        <v>0</v>
      </c>
      <c r="AF33" s="392">
        <f t="shared" si="13"/>
        <v>35163.733950432965</v>
      </c>
      <c r="AG33" s="400" t="s">
        <v>14</v>
      </c>
      <c r="AH33" s="401">
        <f t="shared" si="3"/>
        <v>18212</v>
      </c>
      <c r="AI33" s="401">
        <f t="shared" si="4"/>
        <v>35163.733950432965</v>
      </c>
      <c r="AJ33" s="401">
        <f t="shared" si="5"/>
        <v>8506</v>
      </c>
      <c r="AK33" s="393"/>
      <c r="AL33" s="394">
        <f>(AJ33*1000)/AF33/52</f>
        <v>4.6518644267842033</v>
      </c>
    </row>
    <row r="34" spans="1:38" x14ac:dyDescent="0.2">
      <c r="A34" s="8">
        <v>11750</v>
      </c>
      <c r="B34" s="8" t="s">
        <v>102</v>
      </c>
      <c r="C34" s="8" t="s">
        <v>42</v>
      </c>
      <c r="D34" s="29" t="s">
        <v>1</v>
      </c>
      <c r="E34" s="405"/>
      <c r="F34" s="382">
        <f>'App 6 - Residual Waste'!F34</f>
        <v>875</v>
      </c>
      <c r="G34" s="383">
        <f t="shared" si="0"/>
        <v>9.5444827435752</v>
      </c>
      <c r="H34" s="384">
        <f t="shared" si="1"/>
        <v>6.23837937077238</v>
      </c>
      <c r="I34" s="385"/>
      <c r="J34" s="386"/>
      <c r="K34" s="387">
        <f>'App 4 - Recyclables'!F34</f>
        <v>0</v>
      </c>
      <c r="L34" s="388"/>
      <c r="M34" s="388"/>
      <c r="N34" s="381"/>
      <c r="O34" s="389">
        <f>'App 5 - Organics'!F34</f>
        <v>0</v>
      </c>
      <c r="P34" s="390"/>
      <c r="Q34" s="391"/>
      <c r="R34" s="392">
        <f>'App 5 - Organics'!J34</f>
        <v>0</v>
      </c>
      <c r="S34" s="393"/>
      <c r="T34" s="394"/>
      <c r="V34" s="395">
        <f>'App 1 - Services'!G34</f>
        <v>2887</v>
      </c>
      <c r="W34" s="396">
        <f>'App 1 - Services'!M34</f>
        <v>1763</v>
      </c>
      <c r="X34" s="397">
        <f>'App 1 - Services'!N34</f>
        <v>0</v>
      </c>
      <c r="Y34" s="398">
        <f>'App 1 - Services'!O34</f>
        <v>0</v>
      </c>
      <c r="Z34" s="392">
        <f>'App 1 - Services'!P34</f>
        <v>0</v>
      </c>
      <c r="AA34" s="2">
        <v>1</v>
      </c>
      <c r="AB34" s="399">
        <f>'App 1 - Services'!F34</f>
        <v>4417</v>
      </c>
      <c r="AC34" s="396">
        <f t="shared" si="10"/>
        <v>2697.3228264634567</v>
      </c>
      <c r="AD34" s="397">
        <f t="shared" si="11"/>
        <v>0</v>
      </c>
      <c r="AE34" s="398">
        <f t="shared" si="12"/>
        <v>0</v>
      </c>
      <c r="AF34" s="392">
        <f t="shared" si="13"/>
        <v>0</v>
      </c>
      <c r="AG34" s="400"/>
      <c r="AH34" s="401">
        <f t="shared" si="3"/>
        <v>0</v>
      </c>
      <c r="AI34" s="401">
        <f t="shared" si="4"/>
        <v>0</v>
      </c>
      <c r="AJ34" s="401">
        <f t="shared" si="5"/>
        <v>0</v>
      </c>
      <c r="AK34" s="393"/>
      <c r="AL34" s="394"/>
    </row>
    <row r="35" spans="1:38" x14ac:dyDescent="0.2">
      <c r="A35" s="8">
        <v>11800</v>
      </c>
      <c r="B35" s="8" t="s">
        <v>49</v>
      </c>
      <c r="C35" s="8" t="s">
        <v>43</v>
      </c>
      <c r="D35" s="29" t="s">
        <v>4</v>
      </c>
      <c r="E35" s="405"/>
      <c r="F35" s="382">
        <f>'App 6 - Residual Waste'!F35</f>
        <v>14239</v>
      </c>
      <c r="G35" s="383">
        <f t="shared" si="0"/>
        <v>8.8217436558287083</v>
      </c>
      <c r="H35" s="384">
        <f t="shared" si="1"/>
        <v>3.93608732943779</v>
      </c>
      <c r="I35" s="385"/>
      <c r="J35" s="386"/>
      <c r="K35" s="387">
        <f>'App 4 - Recyclables'!F35</f>
        <v>6701</v>
      </c>
      <c r="L35" s="388">
        <f t="shared" si="6"/>
        <v>4.4808715398791552</v>
      </c>
      <c r="M35" s="388">
        <f t="shared" si="7"/>
        <v>1.9992761500503984</v>
      </c>
      <c r="N35" s="381"/>
      <c r="O35" s="389">
        <f>'App 5 - Organics'!F35</f>
        <v>0</v>
      </c>
      <c r="P35" s="390"/>
      <c r="Q35" s="391"/>
      <c r="R35" s="392">
        <f>'App 5 - Organics'!J35</f>
        <v>12813</v>
      </c>
      <c r="S35" s="393">
        <f t="shared" si="8"/>
        <v>7.9408264954510521</v>
      </c>
      <c r="T35" s="394">
        <f t="shared" si="9"/>
        <v>3.54303953656117</v>
      </c>
      <c r="V35" s="395">
        <f>'App 1 - Services'!G35</f>
        <v>34645</v>
      </c>
      <c r="W35" s="396">
        <f>'App 1 - Services'!M35</f>
        <v>31040</v>
      </c>
      <c r="X35" s="397">
        <f>'App 1 - Services'!N35</f>
        <v>28759</v>
      </c>
      <c r="Y35" s="398">
        <f>'App 1 - Services'!O35</f>
        <v>0</v>
      </c>
      <c r="Z35" s="392">
        <f>'App 1 - Services'!P35</f>
        <v>31030</v>
      </c>
      <c r="AB35" s="399">
        <f>'App 1 - Services'!F35</f>
        <v>77648</v>
      </c>
      <c r="AC35" s="396">
        <f t="shared" si="10"/>
        <v>69568.3048058883</v>
      </c>
      <c r="AD35" s="397">
        <f t="shared" si="11"/>
        <v>64456.020551306101</v>
      </c>
      <c r="AE35" s="398">
        <f t="shared" si="12"/>
        <v>0</v>
      </c>
      <c r="AF35" s="392">
        <f t="shared" si="13"/>
        <v>69545.892336556499</v>
      </c>
      <c r="AG35" s="400" t="s">
        <v>14</v>
      </c>
      <c r="AH35" s="401">
        <f t="shared" si="3"/>
        <v>31030</v>
      </c>
      <c r="AI35" s="401">
        <f t="shared" si="4"/>
        <v>69545.892336556499</v>
      </c>
      <c r="AJ35" s="401">
        <f t="shared" si="5"/>
        <v>12813</v>
      </c>
      <c r="AK35" s="393"/>
      <c r="AL35" s="394">
        <f>(AJ35*1000)/AF35/52</f>
        <v>3.54303953656117</v>
      </c>
    </row>
    <row r="36" spans="1:38" x14ac:dyDescent="0.2">
      <c r="A36" s="8">
        <v>12000</v>
      </c>
      <c r="B36" s="8" t="s">
        <v>103</v>
      </c>
      <c r="C36" s="8" t="s">
        <v>22</v>
      </c>
      <c r="D36" s="29" t="s">
        <v>1</v>
      </c>
      <c r="E36" s="405"/>
      <c r="F36" s="382">
        <f>'App 6 - Residual Waste'!F36</f>
        <v>788.13</v>
      </c>
      <c r="G36" s="383">
        <f t="shared" si="0"/>
        <v>8.6806106264869154</v>
      </c>
      <c r="H36" s="384">
        <f t="shared" si="1"/>
        <v>6.1619995265157632</v>
      </c>
      <c r="I36" s="385"/>
      <c r="J36" s="386"/>
      <c r="K36" s="387">
        <f>'App 4 - Recyclables'!F36</f>
        <v>327</v>
      </c>
      <c r="L36" s="388">
        <f t="shared" si="6"/>
        <v>3.6539578956778263</v>
      </c>
      <c r="M36" s="388">
        <f t="shared" si="7"/>
        <v>2.5937906665659889</v>
      </c>
      <c r="N36" s="381"/>
      <c r="O36" s="389">
        <f>'App 5 - Organics'!F36</f>
        <v>0</v>
      </c>
      <c r="P36" s="390"/>
      <c r="Q36" s="391"/>
      <c r="R36" s="392">
        <f>'App 5 - Organics'!J36</f>
        <v>239.08</v>
      </c>
      <c r="S36" s="393">
        <f t="shared" si="8"/>
        <v>3.6316684894883946</v>
      </c>
      <c r="T36" s="394">
        <f t="shared" si="9"/>
        <v>2.5779683567890119</v>
      </c>
      <c r="V36" s="395">
        <f>'App 1 - Services'!G36</f>
        <v>3046</v>
      </c>
      <c r="W36" s="396">
        <f>'App 1 - Services'!M36</f>
        <v>1746</v>
      </c>
      <c r="X36" s="397">
        <f>'App 1 - Services'!N36</f>
        <v>1721</v>
      </c>
      <c r="Y36" s="398">
        <f>'App 1 - Services'!O36</f>
        <v>0</v>
      </c>
      <c r="Z36" s="392">
        <f>'App 1 - Services'!P36</f>
        <v>1266</v>
      </c>
      <c r="AB36" s="399">
        <f>'App 1 - Services'!F36</f>
        <v>4291</v>
      </c>
      <c r="AC36" s="396">
        <f t="shared" si="10"/>
        <v>2459.6474064346685</v>
      </c>
      <c r="AD36" s="397">
        <f t="shared" si="11"/>
        <v>2424.4290873276427</v>
      </c>
      <c r="AE36" s="398">
        <f t="shared" si="12"/>
        <v>0</v>
      </c>
      <c r="AF36" s="392">
        <f t="shared" si="13"/>
        <v>1783.4556795797766</v>
      </c>
      <c r="AG36" s="400" t="s">
        <v>14</v>
      </c>
      <c r="AH36" s="401">
        <f t="shared" si="3"/>
        <v>1266</v>
      </c>
      <c r="AI36" s="401">
        <f t="shared" si="4"/>
        <v>1783.4556795797766</v>
      </c>
      <c r="AJ36" s="401">
        <f t="shared" si="5"/>
        <v>239.08</v>
      </c>
      <c r="AK36" s="393"/>
      <c r="AL36" s="394">
        <f>(AJ36*1000)/AF36/52</f>
        <v>2.5779683567890119</v>
      </c>
    </row>
    <row r="37" spans="1:38" x14ac:dyDescent="0.2">
      <c r="A37" s="8">
        <v>12150</v>
      </c>
      <c r="B37" s="8" t="s">
        <v>104</v>
      </c>
      <c r="C37" s="8" t="s">
        <v>42</v>
      </c>
      <c r="D37" s="29" t="s">
        <v>1</v>
      </c>
      <c r="E37" s="405"/>
      <c r="F37" s="382">
        <f>'App 6 - Residual Waste'!F37</f>
        <v>2420</v>
      </c>
      <c r="G37" s="383">
        <f t="shared" si="0"/>
        <v>30.477054052692559</v>
      </c>
      <c r="H37" s="384">
        <f t="shared" si="1"/>
        <v>21.170904709241771</v>
      </c>
      <c r="I37" s="385"/>
      <c r="J37" s="386"/>
      <c r="K37" s="387">
        <f>'App 4 - Recyclables'!F37</f>
        <v>0</v>
      </c>
      <c r="L37" s="388"/>
      <c r="M37" s="388"/>
      <c r="N37" s="381"/>
      <c r="O37" s="389">
        <f>'App 5 - Organics'!F37</f>
        <v>0</v>
      </c>
      <c r="P37" s="390"/>
      <c r="Q37" s="391"/>
      <c r="R37" s="392">
        <f>'App 5 - Organics'!J37</f>
        <v>0</v>
      </c>
      <c r="S37" s="393"/>
      <c r="T37" s="394"/>
      <c r="V37" s="395">
        <f>'App 1 - Services'!G37</f>
        <v>2714</v>
      </c>
      <c r="W37" s="396">
        <f>'App 1 - Services'!M37</f>
        <v>1527</v>
      </c>
      <c r="X37" s="397">
        <f>'App 1 - Services'!N37</f>
        <v>0</v>
      </c>
      <c r="Y37" s="398">
        <f>'App 1 - Services'!O37</f>
        <v>0</v>
      </c>
      <c r="Z37" s="392">
        <f>'App 1 - Services'!P37</f>
        <v>0</v>
      </c>
      <c r="AA37" s="2">
        <v>1</v>
      </c>
      <c r="AB37" s="399">
        <f>'App 1 - Services'!F37</f>
        <v>3907</v>
      </c>
      <c r="AC37" s="396">
        <f t="shared" si="10"/>
        <v>2198.2273397199706</v>
      </c>
      <c r="AD37" s="397">
        <f t="shared" si="11"/>
        <v>0</v>
      </c>
      <c r="AE37" s="398">
        <f t="shared" si="12"/>
        <v>0</v>
      </c>
      <c r="AF37" s="392">
        <f t="shared" si="13"/>
        <v>0</v>
      </c>
      <c r="AG37" s="400"/>
      <c r="AH37" s="401">
        <f t="shared" si="3"/>
        <v>0</v>
      </c>
      <c r="AI37" s="401">
        <f t="shared" si="4"/>
        <v>0</v>
      </c>
      <c r="AJ37" s="401">
        <f t="shared" si="5"/>
        <v>0</v>
      </c>
      <c r="AK37" s="393"/>
      <c r="AL37" s="394"/>
    </row>
    <row r="38" spans="1:38" x14ac:dyDescent="0.2">
      <c r="A38" s="8">
        <v>12160</v>
      </c>
      <c r="B38" s="8" t="s">
        <v>105</v>
      </c>
      <c r="C38" s="8" t="s">
        <v>22</v>
      </c>
      <c r="D38" s="29" t="s">
        <v>1</v>
      </c>
      <c r="E38" s="381"/>
      <c r="F38" s="382">
        <f>'App 6 - Residual Waste'!F38</f>
        <v>1855.25</v>
      </c>
      <c r="G38" s="383">
        <f t="shared" si="0"/>
        <v>9.0645032051282062</v>
      </c>
      <c r="H38" s="384">
        <f t="shared" si="1"/>
        <v>5.0171722417337685</v>
      </c>
      <c r="I38" s="385"/>
      <c r="J38" s="386"/>
      <c r="K38" s="387">
        <f>'App 4 - Recyclables'!F38</f>
        <v>651.41999999999996</v>
      </c>
      <c r="L38" s="388">
        <f t="shared" si="6"/>
        <v>3.1827509380863037</v>
      </c>
      <c r="M38" s="388">
        <f t="shared" si="7"/>
        <v>1.7616420114325351</v>
      </c>
      <c r="N38" s="381"/>
      <c r="O38" s="389">
        <f>'App 5 - Organics'!F38</f>
        <v>644</v>
      </c>
      <c r="P38" s="390">
        <f t="shared" si="14"/>
        <v>4.8039625231246639</v>
      </c>
      <c r="Q38" s="391">
        <f t="shared" si="15"/>
        <v>2.6589772076769296</v>
      </c>
      <c r="R38" s="392">
        <f>'App 5 - Organics'!J38</f>
        <v>304.42</v>
      </c>
      <c r="S38" s="393">
        <f t="shared" ref="S38" si="18">(R38*1000)/Z38/52</f>
        <v>4.8262413596296536</v>
      </c>
      <c r="T38" s="394">
        <f t="shared" ref="T38" si="19">(R38*1000)/AF38/52</f>
        <v>2.6713084692542566</v>
      </c>
      <c r="V38" s="395">
        <f>'App 1 - Services'!G38</f>
        <v>6213</v>
      </c>
      <c r="W38" s="396">
        <f>'App 1 - Services'!M38</f>
        <v>3936</v>
      </c>
      <c r="X38" s="397">
        <f>'App 1 - Services'!N38</f>
        <v>3936</v>
      </c>
      <c r="Y38" s="398">
        <f>'App 1 - Services'!O38</f>
        <v>2578</v>
      </c>
      <c r="Z38" s="392">
        <f>'App 1 - Services'!P38</f>
        <v>1213</v>
      </c>
      <c r="AB38" s="399">
        <f>'App 1 - Services'!F38</f>
        <v>11225</v>
      </c>
      <c r="AC38" s="396">
        <f t="shared" si="10"/>
        <v>7111.1540318686621</v>
      </c>
      <c r="AD38" s="397">
        <f t="shared" si="11"/>
        <v>7111.1540318686621</v>
      </c>
      <c r="AE38" s="398">
        <f t="shared" si="12"/>
        <v>4657.6613552229201</v>
      </c>
      <c r="AF38" s="392">
        <f t="shared" si="13"/>
        <v>2191.5218091099309</v>
      </c>
      <c r="AG38" s="400" t="s">
        <v>14</v>
      </c>
      <c r="AH38" s="401">
        <f t="shared" si="3"/>
        <v>3791</v>
      </c>
      <c r="AI38" s="401">
        <f t="shared" si="4"/>
        <v>6849.1831643328514</v>
      </c>
      <c r="AJ38" s="401">
        <f t="shared" si="5"/>
        <v>948.42000000000007</v>
      </c>
      <c r="AK38" s="393">
        <f>(AJ38*1000)/AE38/52</f>
        <v>3.9158806883617299</v>
      </c>
      <c r="AL38" s="394">
        <f>(AJ38*1000)/AF38/52</f>
        <v>8.3224570606731572</v>
      </c>
    </row>
    <row r="39" spans="1:38" x14ac:dyDescent="0.2">
      <c r="A39" s="8">
        <v>12350</v>
      </c>
      <c r="B39" s="8" t="s">
        <v>106</v>
      </c>
      <c r="C39" s="8" t="s">
        <v>42</v>
      </c>
      <c r="D39" s="29" t="s">
        <v>1</v>
      </c>
      <c r="E39" s="381"/>
      <c r="F39" s="382">
        <f>'App 6 - Residual Waste'!F39</f>
        <v>3060.7</v>
      </c>
      <c r="G39" s="383">
        <f t="shared" si="0"/>
        <v>12.357676965067267</v>
      </c>
      <c r="H39" s="384">
        <f t="shared" si="1"/>
        <v>5.1080986795117003</v>
      </c>
      <c r="I39" s="385"/>
      <c r="J39" s="386"/>
      <c r="K39" s="387">
        <f>'App 4 - Recyclables'!F39</f>
        <v>1034.53</v>
      </c>
      <c r="L39" s="388">
        <f t="shared" si="6"/>
        <v>4.4447738365298681</v>
      </c>
      <c r="M39" s="388">
        <f t="shared" si="7"/>
        <v>1.837266294408497</v>
      </c>
      <c r="N39" s="381"/>
      <c r="O39" s="389">
        <f>'App 5 - Organics'!F39</f>
        <v>0</v>
      </c>
      <c r="P39" s="390"/>
      <c r="Q39" s="391"/>
      <c r="R39" s="392">
        <f>'App 5 - Organics'!J39</f>
        <v>0</v>
      </c>
      <c r="S39" s="393"/>
      <c r="T39" s="394"/>
      <c r="V39" s="395">
        <f>'App 1 - Services'!G39</f>
        <v>5262</v>
      </c>
      <c r="W39" s="396">
        <f>'App 1 - Services'!M39</f>
        <v>4763</v>
      </c>
      <c r="X39" s="397">
        <f>'App 1 - Services'!N39</f>
        <v>4476</v>
      </c>
      <c r="Y39" s="398">
        <f>'App 1 - Services'!O39</f>
        <v>0</v>
      </c>
      <c r="Z39" s="392">
        <f>'App 1 - Services'!P39</f>
        <v>0</v>
      </c>
      <c r="AA39" s="2">
        <v>1</v>
      </c>
      <c r="AB39" s="399">
        <f>'App 1 - Services'!F39</f>
        <v>12730</v>
      </c>
      <c r="AC39" s="396">
        <f t="shared" si="10"/>
        <v>11522.803116685671</v>
      </c>
      <c r="AD39" s="397">
        <f t="shared" si="11"/>
        <v>10828.483466362601</v>
      </c>
      <c r="AE39" s="398">
        <f t="shared" si="12"/>
        <v>0</v>
      </c>
      <c r="AF39" s="392">
        <f t="shared" si="13"/>
        <v>0</v>
      </c>
      <c r="AG39" s="400"/>
      <c r="AH39" s="401">
        <f t="shared" si="3"/>
        <v>0</v>
      </c>
      <c r="AI39" s="401">
        <f t="shared" si="4"/>
        <v>0</v>
      </c>
      <c r="AJ39" s="401">
        <f t="shared" si="5"/>
        <v>0</v>
      </c>
      <c r="AK39" s="393"/>
      <c r="AL39" s="394"/>
    </row>
    <row r="40" spans="1:38" x14ac:dyDescent="0.2">
      <c r="A40" s="8">
        <v>12380</v>
      </c>
      <c r="B40" s="8" t="s">
        <v>54</v>
      </c>
      <c r="C40" s="8" t="s">
        <v>19</v>
      </c>
      <c r="D40" s="29" t="s">
        <v>3</v>
      </c>
      <c r="E40" s="381"/>
      <c r="F40" s="382">
        <f>'App 6 - Residual Waste'!F40</f>
        <v>67028</v>
      </c>
      <c r="G40" s="383">
        <f t="shared" si="0"/>
        <v>17.103429974125923</v>
      </c>
      <c r="H40" s="384">
        <f t="shared" si="1"/>
        <v>5.3881224256489224</v>
      </c>
      <c r="I40" s="385"/>
      <c r="J40" s="386"/>
      <c r="K40" s="387">
        <f>'App 4 - Recyclables'!F40</f>
        <v>10406</v>
      </c>
      <c r="L40" s="388">
        <f t="shared" si="6"/>
        <v>2.6552827521446907</v>
      </c>
      <c r="M40" s="388">
        <f t="shared" si="7"/>
        <v>0.83649820912607697</v>
      </c>
      <c r="N40" s="381"/>
      <c r="O40" s="389">
        <f>'App 5 - Organics'!F40</f>
        <v>9536</v>
      </c>
      <c r="P40" s="390">
        <f t="shared" si="14"/>
        <v>5.5204736862824104</v>
      </c>
      <c r="Q40" s="391">
        <f t="shared" si="15"/>
        <v>1.7391241472769652</v>
      </c>
      <c r="R40" s="392">
        <f>'App 5 - Organics'!J40</f>
        <v>0</v>
      </c>
      <c r="S40" s="393"/>
      <c r="T40" s="394"/>
      <c r="V40" s="395">
        <f>'App 1 - Services'!G40</f>
        <v>76450</v>
      </c>
      <c r="W40" s="396">
        <f>'App 1 - Services'!M40</f>
        <v>75365</v>
      </c>
      <c r="X40" s="397">
        <f>'App 1 - Services'!N40</f>
        <v>75365</v>
      </c>
      <c r="Y40" s="398">
        <f>'App 1 - Services'!O40</f>
        <v>33219</v>
      </c>
      <c r="Z40" s="392">
        <f>'App 1 - Services'!P40</f>
        <v>0</v>
      </c>
      <c r="AB40" s="399">
        <f>'App 1 - Services'!F40</f>
        <v>242674</v>
      </c>
      <c r="AC40" s="396">
        <f t="shared" si="10"/>
        <v>239229.90202746892</v>
      </c>
      <c r="AD40" s="397">
        <f t="shared" si="11"/>
        <v>239229.90202746892</v>
      </c>
      <c r="AE40" s="398">
        <f t="shared" si="12"/>
        <v>105446.53506867234</v>
      </c>
      <c r="AF40" s="392">
        <f t="shared" si="13"/>
        <v>0</v>
      </c>
      <c r="AG40" s="400"/>
      <c r="AH40" s="401">
        <f t="shared" si="3"/>
        <v>33219</v>
      </c>
      <c r="AI40" s="401">
        <f t="shared" si="4"/>
        <v>105446.53506867234</v>
      </c>
      <c r="AJ40" s="401">
        <f t="shared" si="5"/>
        <v>9536</v>
      </c>
      <c r="AK40" s="393">
        <f>(AJ40*1000)/AE40/52</f>
        <v>1.7391241472769652</v>
      </c>
      <c r="AL40" s="394"/>
    </row>
    <row r="41" spans="1:38" x14ac:dyDescent="0.2">
      <c r="A41" s="8">
        <v>12390</v>
      </c>
      <c r="B41" s="8" t="s">
        <v>107</v>
      </c>
      <c r="C41" s="8" t="s">
        <v>42</v>
      </c>
      <c r="D41" s="29" t="s">
        <v>1</v>
      </c>
      <c r="E41" s="381"/>
      <c r="F41" s="382">
        <f>'App 6 - Residual Waste'!F41</f>
        <v>10039.98</v>
      </c>
      <c r="G41" s="383">
        <f t="shared" si="0"/>
        <v>10.168345189674451</v>
      </c>
      <c r="H41" s="384">
        <f t="shared" si="1"/>
        <v>4.3274357812617925</v>
      </c>
      <c r="I41" s="385"/>
      <c r="J41" s="386"/>
      <c r="K41" s="387">
        <f>'App 4 - Recyclables'!F41</f>
        <v>3114.73</v>
      </c>
      <c r="L41" s="388">
        <f t="shared" si="6"/>
        <v>3.1545530780573965</v>
      </c>
      <c r="M41" s="388">
        <f t="shared" si="7"/>
        <v>1.3425120419532255</v>
      </c>
      <c r="N41" s="381"/>
      <c r="O41" s="389">
        <f>'App 5 - Organics'!F41</f>
        <v>0</v>
      </c>
      <c r="P41" s="390"/>
      <c r="Q41" s="391"/>
      <c r="R41" s="392">
        <f>'App 5 - Organics'!J41</f>
        <v>6881.33</v>
      </c>
      <c r="S41" s="393">
        <f t="shared" si="8"/>
        <v>8.5003384654913425</v>
      </c>
      <c r="T41" s="394">
        <f t="shared" si="9"/>
        <v>3.617566884507085</v>
      </c>
      <c r="V41" s="395">
        <f>'App 1 - Services'!G41</f>
        <v>23000</v>
      </c>
      <c r="W41" s="396">
        <f>'App 1 - Services'!M41</f>
        <v>18988</v>
      </c>
      <c r="X41" s="397">
        <f>'App 1 - Services'!N41</f>
        <v>18988</v>
      </c>
      <c r="Y41" s="398">
        <f>'App 1 - Services'!O41</f>
        <v>0</v>
      </c>
      <c r="Z41" s="392">
        <f>'App 1 - Services'!P41</f>
        <v>15568</v>
      </c>
      <c r="AB41" s="399">
        <f>'App 1 - Services'!F41</f>
        <v>54044</v>
      </c>
      <c r="AC41" s="396">
        <f t="shared" si="10"/>
        <v>44616.846608695654</v>
      </c>
      <c r="AD41" s="397">
        <f t="shared" si="11"/>
        <v>44616.846608695654</v>
      </c>
      <c r="AE41" s="398">
        <f t="shared" si="12"/>
        <v>0</v>
      </c>
      <c r="AF41" s="392">
        <f t="shared" si="13"/>
        <v>36580.738782608692</v>
      </c>
      <c r="AG41" s="400" t="s">
        <v>724</v>
      </c>
      <c r="AH41" s="401">
        <f t="shared" si="3"/>
        <v>15568</v>
      </c>
      <c r="AI41" s="401">
        <f t="shared" si="4"/>
        <v>36580.738782608692</v>
      </c>
      <c r="AJ41" s="401">
        <f t="shared" si="5"/>
        <v>6881.33</v>
      </c>
      <c r="AK41" s="393"/>
      <c r="AL41" s="394">
        <f>(AJ41*1000)/AF41/52</f>
        <v>3.617566884507085</v>
      </c>
    </row>
    <row r="42" spans="1:38" x14ac:dyDescent="0.2">
      <c r="A42" s="8">
        <v>12700</v>
      </c>
      <c r="B42" s="8" t="s">
        <v>108</v>
      </c>
      <c r="C42" s="8" t="s">
        <v>25</v>
      </c>
      <c r="D42" s="29" t="s">
        <v>4</v>
      </c>
      <c r="E42" s="381"/>
      <c r="F42" s="382">
        <f>'App 6 - Residual Waste'!F42</f>
        <v>2668</v>
      </c>
      <c r="G42" s="383">
        <f t="shared" si="0"/>
        <v>13.551952537689463</v>
      </c>
      <c r="H42" s="384">
        <f t="shared" si="1"/>
        <v>7.4322587385921102</v>
      </c>
      <c r="I42" s="385"/>
      <c r="J42" s="386"/>
      <c r="K42" s="387">
        <f>'App 4 - Recyclables'!F42</f>
        <v>676</v>
      </c>
      <c r="L42" s="388">
        <f t="shared" si="6"/>
        <v>3.4657424686750198</v>
      </c>
      <c r="M42" s="388">
        <f t="shared" si="7"/>
        <v>1.9007072727625833</v>
      </c>
      <c r="N42" s="381"/>
      <c r="O42" s="389">
        <f>'App 5 - Organics'!F42</f>
        <v>0</v>
      </c>
      <c r="P42" s="390"/>
      <c r="Q42" s="391"/>
      <c r="R42" s="392">
        <f>'App 5 - Organics'!J42</f>
        <v>0</v>
      </c>
      <c r="S42" s="393"/>
      <c r="T42" s="394"/>
      <c r="V42" s="395">
        <f>'App 1 - Services'!G42</f>
        <v>5300</v>
      </c>
      <c r="W42" s="396">
        <f>'App 1 - Services'!M42</f>
        <v>3786</v>
      </c>
      <c r="X42" s="397">
        <f>'App 1 - Services'!N42</f>
        <v>3751</v>
      </c>
      <c r="Y42" s="398">
        <f>'App 1 - Services'!O42</f>
        <v>0</v>
      </c>
      <c r="Z42" s="392">
        <f>'App 1 - Services'!P42</f>
        <v>0</v>
      </c>
      <c r="AA42" s="2">
        <v>1</v>
      </c>
      <c r="AB42" s="399">
        <f>'App 1 - Services'!F42</f>
        <v>9664</v>
      </c>
      <c r="AC42" s="396">
        <f t="shared" si="10"/>
        <v>6903.3781132075474</v>
      </c>
      <c r="AD42" s="397">
        <f t="shared" si="11"/>
        <v>6839.5592452830188</v>
      </c>
      <c r="AE42" s="398">
        <f t="shared" si="12"/>
        <v>0</v>
      </c>
      <c r="AF42" s="392">
        <f t="shared" si="13"/>
        <v>0</v>
      </c>
      <c r="AG42" s="400"/>
      <c r="AH42" s="401">
        <f t="shared" si="3"/>
        <v>0</v>
      </c>
      <c r="AI42" s="401">
        <f t="shared" si="4"/>
        <v>0</v>
      </c>
      <c r="AJ42" s="401">
        <f t="shared" si="5"/>
        <v>0</v>
      </c>
      <c r="AK42" s="393"/>
      <c r="AL42" s="394"/>
    </row>
    <row r="43" spans="1:38" x14ac:dyDescent="0.2">
      <c r="A43" s="8">
        <v>12730</v>
      </c>
      <c r="B43" s="8" t="s">
        <v>109</v>
      </c>
      <c r="C43" s="8" t="s">
        <v>73</v>
      </c>
      <c r="D43" s="29" t="s">
        <v>1</v>
      </c>
      <c r="E43" s="381"/>
      <c r="F43" s="382">
        <f>'App 6 - Residual Waste'!F43</f>
        <v>2948.82</v>
      </c>
      <c r="G43" s="383">
        <f t="shared" si="0"/>
        <v>16.105673650405262</v>
      </c>
      <c r="H43" s="384">
        <f t="shared" si="1"/>
        <v>8.8711532833840714</v>
      </c>
      <c r="I43" s="385"/>
      <c r="J43" s="386"/>
      <c r="K43" s="387">
        <f>'App 4 - Recyclables'!F43</f>
        <v>0</v>
      </c>
      <c r="L43" s="388"/>
      <c r="M43" s="388"/>
      <c r="N43" s="381"/>
      <c r="O43" s="389">
        <f>'App 5 - Organics'!F43</f>
        <v>0</v>
      </c>
      <c r="P43" s="390"/>
      <c r="Q43" s="391"/>
      <c r="R43" s="392">
        <f>'App 5 - Organics'!J43</f>
        <v>0</v>
      </c>
      <c r="S43" s="393"/>
      <c r="T43" s="394"/>
      <c r="V43" s="395">
        <f>'App 1 - Services'!G43</f>
        <v>5003</v>
      </c>
      <c r="W43" s="396">
        <f>'App 1 - Services'!M43</f>
        <v>3521</v>
      </c>
      <c r="X43" s="397">
        <f>'App 1 - Services'!N43</f>
        <v>0</v>
      </c>
      <c r="Y43" s="398">
        <f>'App 1 - Services'!O43</f>
        <v>0</v>
      </c>
      <c r="Z43" s="392">
        <f>'App 1 - Services'!P43</f>
        <v>0</v>
      </c>
      <c r="AA43" s="2">
        <v>1</v>
      </c>
      <c r="AB43" s="399">
        <f>'App 1 - Services'!F43</f>
        <v>9083</v>
      </c>
      <c r="AC43" s="396">
        <f t="shared" si="10"/>
        <v>6392.4131521087356</v>
      </c>
      <c r="AD43" s="397">
        <f t="shared" si="11"/>
        <v>0</v>
      </c>
      <c r="AE43" s="398">
        <f t="shared" si="12"/>
        <v>0</v>
      </c>
      <c r="AF43" s="392">
        <f t="shared" si="13"/>
        <v>0</v>
      </c>
      <c r="AG43" s="400"/>
      <c r="AH43" s="401">
        <f t="shared" si="3"/>
        <v>0</v>
      </c>
      <c r="AI43" s="401">
        <f t="shared" si="4"/>
        <v>0</v>
      </c>
      <c r="AJ43" s="401">
        <f t="shared" si="5"/>
        <v>0</v>
      </c>
      <c r="AK43" s="393"/>
      <c r="AL43" s="394"/>
    </row>
    <row r="44" spans="1:38" x14ac:dyDescent="0.2">
      <c r="A44" s="8">
        <v>12750</v>
      </c>
      <c r="B44" s="8" t="s">
        <v>110</v>
      </c>
      <c r="C44" s="8" t="s">
        <v>74</v>
      </c>
      <c r="D44" s="29" t="s">
        <v>1</v>
      </c>
      <c r="E44" s="381"/>
      <c r="F44" s="382">
        <f>'App 6 - Residual Waste'!F44</f>
        <v>7243.6</v>
      </c>
      <c r="G44" s="383">
        <f t="shared" si="0"/>
        <v>5.7085484796328165</v>
      </c>
      <c r="H44" s="384">
        <f t="shared" si="1"/>
        <v>3.5761963442185256</v>
      </c>
      <c r="I44" s="385"/>
      <c r="J44" s="386"/>
      <c r="K44" s="387">
        <f>'App 4 - Recyclables'!F44</f>
        <v>4026.19</v>
      </c>
      <c r="L44" s="388">
        <f t="shared" si="6"/>
        <v>3.3824092774116798</v>
      </c>
      <c r="M44" s="388">
        <f t="shared" si="7"/>
        <v>2.1189554114653886</v>
      </c>
      <c r="N44" s="381"/>
      <c r="O44" s="389">
        <f>'App 5 - Organics'!F44</f>
        <v>5677.24</v>
      </c>
      <c r="P44" s="390">
        <f t="shared" si="14"/>
        <v>5.0950948435548025</v>
      </c>
      <c r="Q44" s="391">
        <f t="shared" si="15"/>
        <v>3.1918901307358878</v>
      </c>
      <c r="R44" s="392">
        <f>'App 5 - Organics'!J44</f>
        <v>0</v>
      </c>
      <c r="S44" s="393"/>
      <c r="T44" s="394"/>
      <c r="V44" s="395">
        <f>'App 1 - Services'!G44</f>
        <v>24402</v>
      </c>
      <c r="W44" s="396">
        <f>'App 1 - Services'!M44</f>
        <v>24402</v>
      </c>
      <c r="X44" s="397">
        <f>'App 1 - Services'!N44</f>
        <v>22891</v>
      </c>
      <c r="Y44" s="398">
        <f>'App 1 - Services'!O44</f>
        <v>21428</v>
      </c>
      <c r="Z44" s="392">
        <f>'App 1 - Services'!P44</f>
        <v>0</v>
      </c>
      <c r="AB44" s="399">
        <f>'App 1 - Services'!F44</f>
        <v>38952</v>
      </c>
      <c r="AC44" s="396">
        <f t="shared" si="10"/>
        <v>38952</v>
      </c>
      <c r="AD44" s="397">
        <f t="shared" si="11"/>
        <v>36540.047209245145</v>
      </c>
      <c r="AE44" s="398">
        <f t="shared" si="12"/>
        <v>34204.715023358738</v>
      </c>
      <c r="AF44" s="392">
        <f t="shared" si="13"/>
        <v>0</v>
      </c>
      <c r="AG44" s="400"/>
      <c r="AH44" s="401">
        <f t="shared" si="3"/>
        <v>21428</v>
      </c>
      <c r="AI44" s="401">
        <f t="shared" si="4"/>
        <v>34204.715023358738</v>
      </c>
      <c r="AJ44" s="401">
        <f t="shared" si="5"/>
        <v>5677.24</v>
      </c>
      <c r="AK44" s="393">
        <f>(AJ44*1000)/AE44/52</f>
        <v>3.1918901307358878</v>
      </c>
      <c r="AL44" s="394"/>
    </row>
    <row r="45" spans="1:38" x14ac:dyDescent="0.2">
      <c r="A45" s="8">
        <v>12850</v>
      </c>
      <c r="B45" s="8" t="s">
        <v>111</v>
      </c>
      <c r="C45" s="8" t="s">
        <v>19</v>
      </c>
      <c r="D45" s="29" t="s">
        <v>3</v>
      </c>
      <c r="E45" s="381"/>
      <c r="F45" s="382">
        <f>'App 6 - Residual Waste'!F45</f>
        <v>67378.880000000005</v>
      </c>
      <c r="G45" s="383">
        <f t="shared" si="0"/>
        <v>22.432528172634122</v>
      </c>
      <c r="H45" s="384">
        <f t="shared" si="1"/>
        <v>6.5923382685341867</v>
      </c>
      <c r="I45" s="385"/>
      <c r="J45" s="386"/>
      <c r="K45" s="387">
        <f>'App 4 - Recyclables'!F45</f>
        <v>10092.14</v>
      </c>
      <c r="L45" s="388">
        <f t="shared" si="6"/>
        <v>3.3287530081060543</v>
      </c>
      <c r="M45" s="388">
        <f t="shared" si="7"/>
        <v>0.97823418176316224</v>
      </c>
      <c r="N45" s="381"/>
      <c r="O45" s="389">
        <f>'App 5 - Organics'!F45</f>
        <v>0</v>
      </c>
      <c r="P45" s="390"/>
      <c r="Q45" s="391"/>
      <c r="R45" s="392">
        <f>'App 5 - Organics'!J45</f>
        <v>0</v>
      </c>
      <c r="S45" s="393"/>
      <c r="T45" s="394"/>
      <c r="V45" s="395">
        <f>'App 1 - Services'!G45</f>
        <v>61956</v>
      </c>
      <c r="W45" s="396">
        <f>'App 1 - Services'!M45</f>
        <v>57762</v>
      </c>
      <c r="X45" s="397">
        <f>'App 1 - Services'!N45</f>
        <v>58304</v>
      </c>
      <c r="Y45" s="398">
        <f>'App 1 - Services'!O45</f>
        <v>0</v>
      </c>
      <c r="Z45" s="392">
        <f>'App 1 - Services'!P45</f>
        <v>0</v>
      </c>
      <c r="AA45" s="2">
        <v>1</v>
      </c>
      <c r="AB45" s="399">
        <f>'App 1 - Services'!F45</f>
        <v>210825</v>
      </c>
      <c r="AC45" s="396">
        <f t="shared" si="10"/>
        <v>196553.58076699593</v>
      </c>
      <c r="AD45" s="397">
        <f t="shared" si="11"/>
        <v>198397.9081929111</v>
      </c>
      <c r="AE45" s="398">
        <f t="shared" si="12"/>
        <v>0</v>
      </c>
      <c r="AF45" s="392">
        <f t="shared" si="13"/>
        <v>0</v>
      </c>
      <c r="AG45" s="400"/>
      <c r="AH45" s="401">
        <f t="shared" si="3"/>
        <v>0</v>
      </c>
      <c r="AI45" s="401">
        <f t="shared" si="4"/>
        <v>0</v>
      </c>
      <c r="AJ45" s="401">
        <f t="shared" si="5"/>
        <v>0</v>
      </c>
      <c r="AK45" s="393"/>
      <c r="AL45" s="394"/>
    </row>
    <row r="46" spans="1:38" x14ac:dyDescent="0.2">
      <c r="A46" s="8">
        <v>12870</v>
      </c>
      <c r="B46" s="8" t="s">
        <v>112</v>
      </c>
      <c r="C46" s="8" t="s">
        <v>73</v>
      </c>
      <c r="D46" s="29" t="s">
        <v>1</v>
      </c>
      <c r="E46" s="381"/>
      <c r="F46" s="382">
        <f>'App 6 - Residual Waste'!F46</f>
        <v>1968</v>
      </c>
      <c r="G46" s="383">
        <f t="shared" si="0"/>
        <v>6.4517821081066904</v>
      </c>
      <c r="H46" s="384">
        <f t="shared" si="1"/>
        <v>4.649093346355972</v>
      </c>
      <c r="I46" s="385"/>
      <c r="J46" s="386"/>
      <c r="K46" s="387">
        <f>'App 4 - Recyclables'!F46</f>
        <v>1040</v>
      </c>
      <c r="L46" s="388">
        <f t="shared" si="6"/>
        <v>3.66905155017428</v>
      </c>
      <c r="M46" s="388">
        <f t="shared" si="7"/>
        <v>2.6438839476490013</v>
      </c>
      <c r="N46" s="381"/>
      <c r="O46" s="389">
        <f>'App 5 - Organics'!F46</f>
        <v>0</v>
      </c>
      <c r="P46" s="390"/>
      <c r="Q46" s="391"/>
      <c r="R46" s="392">
        <f>'App 5 - Organics'!J46</f>
        <v>2716</v>
      </c>
      <c r="S46" s="393">
        <f t="shared" si="8"/>
        <v>9.6189261935118289</v>
      </c>
      <c r="T46" s="394">
        <f t="shared" si="9"/>
        <v>6.931307507913985</v>
      </c>
      <c r="V46" s="395">
        <f>'App 1 - Services'!G46</f>
        <v>9078</v>
      </c>
      <c r="W46" s="396">
        <f>'App 1 - Services'!M46</f>
        <v>5866</v>
      </c>
      <c r="X46" s="397">
        <f>'App 1 - Services'!N46</f>
        <v>5451</v>
      </c>
      <c r="Y46" s="398">
        <f>'App 1 - Services'!O46</f>
        <v>0</v>
      </c>
      <c r="Z46" s="392">
        <f>'App 1 - Services'!P46</f>
        <v>5430</v>
      </c>
      <c r="AB46" s="399">
        <f>'App 1 - Services'!F46</f>
        <v>12598</v>
      </c>
      <c r="AC46" s="396">
        <f t="shared" si="10"/>
        <v>8140.5450539766471</v>
      </c>
      <c r="AD46" s="397">
        <f t="shared" si="11"/>
        <v>7564.6285525446128</v>
      </c>
      <c r="AE46" s="398">
        <f t="shared" si="12"/>
        <v>0</v>
      </c>
      <c r="AF46" s="392">
        <f t="shared" si="13"/>
        <v>7535.4857898215469</v>
      </c>
      <c r="AG46" s="400" t="s">
        <v>14</v>
      </c>
      <c r="AH46" s="401">
        <f t="shared" si="3"/>
        <v>5430</v>
      </c>
      <c r="AI46" s="401">
        <f t="shared" si="4"/>
        <v>7535.4857898215469</v>
      </c>
      <c r="AJ46" s="401">
        <f t="shared" si="5"/>
        <v>2716</v>
      </c>
      <c r="AK46" s="393"/>
      <c r="AL46" s="394">
        <f>(AJ46*1000)/AF46/52</f>
        <v>6.931307507913985</v>
      </c>
    </row>
    <row r="47" spans="1:38" x14ac:dyDescent="0.2">
      <c r="A47" s="8">
        <v>12900</v>
      </c>
      <c r="B47" s="8" t="s">
        <v>113</v>
      </c>
      <c r="C47" s="8" t="s">
        <v>42</v>
      </c>
      <c r="D47" s="29" t="s">
        <v>1</v>
      </c>
      <c r="E47" s="381"/>
      <c r="F47" s="382">
        <f>'App 6 - Residual Waste'!F47</f>
        <v>1351.92</v>
      </c>
      <c r="G47" s="383">
        <f t="shared" si="0"/>
        <v>7.7537910940833692</v>
      </c>
      <c r="H47" s="384">
        <f t="shared" si="1"/>
        <v>3.3203734443211848</v>
      </c>
      <c r="I47" s="385"/>
      <c r="J47" s="386"/>
      <c r="K47" s="387">
        <f>'App 4 - Recyclables'!F47</f>
        <v>450.77</v>
      </c>
      <c r="L47" s="388">
        <f t="shared" si="6"/>
        <v>2.6639993380927618</v>
      </c>
      <c r="M47" s="388">
        <f t="shared" si="7"/>
        <v>1.1407932649413359</v>
      </c>
      <c r="N47" s="381"/>
      <c r="O47" s="389">
        <f>'App 5 - Organics'!F47</f>
        <v>0</v>
      </c>
      <c r="P47" s="390"/>
      <c r="Q47" s="391"/>
      <c r="R47" s="392">
        <f>'App 5 - Organics'!J47</f>
        <v>1178.52</v>
      </c>
      <c r="S47" s="393">
        <f t="shared" si="8"/>
        <v>6.8782537644449633</v>
      </c>
      <c r="T47" s="394">
        <f t="shared" si="9"/>
        <v>2.9454457652582868</v>
      </c>
      <c r="V47" s="395">
        <f>'App 1 - Services'!G47</f>
        <v>4248</v>
      </c>
      <c r="W47" s="396">
        <f>'App 1 - Services'!M47</f>
        <v>3353</v>
      </c>
      <c r="X47" s="397">
        <f>'App 1 - Services'!N47</f>
        <v>3254</v>
      </c>
      <c r="Y47" s="398">
        <f>'App 1 - Services'!O47</f>
        <v>0</v>
      </c>
      <c r="Z47" s="392">
        <f>'App 1 - Services'!P47</f>
        <v>3295</v>
      </c>
      <c r="AB47" s="399">
        <f>'App 1 - Services'!F47</f>
        <v>9920</v>
      </c>
      <c r="AC47" s="396">
        <f t="shared" si="10"/>
        <v>7829.9811676082863</v>
      </c>
      <c r="AD47" s="397">
        <f t="shared" si="11"/>
        <v>7598.7947269303195</v>
      </c>
      <c r="AE47" s="398">
        <f t="shared" si="12"/>
        <v>0</v>
      </c>
      <c r="AF47" s="392">
        <f t="shared" si="13"/>
        <v>7694.5386064030135</v>
      </c>
      <c r="AG47" s="400" t="s">
        <v>14</v>
      </c>
      <c r="AH47" s="401">
        <f t="shared" si="3"/>
        <v>3295</v>
      </c>
      <c r="AI47" s="401">
        <f t="shared" si="4"/>
        <v>7694.5386064030135</v>
      </c>
      <c r="AJ47" s="401">
        <f t="shared" si="5"/>
        <v>1178.52</v>
      </c>
      <c r="AK47" s="393"/>
      <c r="AL47" s="394">
        <f>(AJ47*1000)/AF47/52</f>
        <v>2.9454457652582868</v>
      </c>
    </row>
    <row r="48" spans="1:38" x14ac:dyDescent="0.2">
      <c r="A48" s="8">
        <v>12930</v>
      </c>
      <c r="B48" s="8" t="s">
        <v>55</v>
      </c>
      <c r="C48" s="8" t="s">
        <v>18</v>
      </c>
      <c r="D48" s="29" t="s">
        <v>3</v>
      </c>
      <c r="E48" s="402"/>
      <c r="F48" s="382">
        <f>'App 6 - Residual Waste'!F48</f>
        <v>32946</v>
      </c>
      <c r="G48" s="383">
        <f t="shared" si="0"/>
        <v>10.979584491411888</v>
      </c>
      <c r="H48" s="384">
        <f t="shared" si="1"/>
        <v>4.1974276316093766</v>
      </c>
      <c r="I48" s="385"/>
      <c r="J48" s="386"/>
      <c r="K48" s="387">
        <f>'App 4 - Recyclables'!F48</f>
        <v>9846</v>
      </c>
      <c r="L48" s="388">
        <f t="shared" si="6"/>
        <v>3.090306243510859</v>
      </c>
      <c r="M48" s="388">
        <f t="shared" si="7"/>
        <v>1.1814050729145069</v>
      </c>
      <c r="N48" s="381"/>
      <c r="O48" s="389">
        <f>'App 5 - Organics'!F48</f>
        <v>12958</v>
      </c>
      <c r="P48" s="390">
        <f t="shared" si="14"/>
        <v>4.3183832890097511</v>
      </c>
      <c r="Q48" s="391">
        <f t="shared" si="15"/>
        <v>1.6508913752927303</v>
      </c>
      <c r="R48" s="392">
        <f>'App 5 - Organics'!J48</f>
        <v>0</v>
      </c>
      <c r="S48" s="393"/>
      <c r="T48" s="394"/>
      <c r="V48" s="395">
        <f>'App 1 - Services'!G48</f>
        <v>61271</v>
      </c>
      <c r="W48" s="396">
        <f>'App 1 - Services'!M48</f>
        <v>57705</v>
      </c>
      <c r="X48" s="397">
        <f>'App 1 - Services'!N48</f>
        <v>61271</v>
      </c>
      <c r="Y48" s="398">
        <f>'App 1 - Services'!O48</f>
        <v>57705</v>
      </c>
      <c r="Z48" s="392">
        <f>'App 1 - Services'!P48</f>
        <v>0</v>
      </c>
      <c r="AB48" s="399">
        <f>'App 1 - Services'!F48</f>
        <v>160272</v>
      </c>
      <c r="AC48" s="396">
        <f t="shared" si="10"/>
        <v>150944.09688106933</v>
      </c>
      <c r="AD48" s="397">
        <f t="shared" si="11"/>
        <v>160272</v>
      </c>
      <c r="AE48" s="398">
        <f t="shared" si="12"/>
        <v>150944.09688106933</v>
      </c>
      <c r="AF48" s="392">
        <f t="shared" si="13"/>
        <v>0</v>
      </c>
      <c r="AG48" s="400"/>
      <c r="AH48" s="401">
        <f t="shared" si="3"/>
        <v>57705</v>
      </c>
      <c r="AI48" s="401">
        <f t="shared" si="4"/>
        <v>150944.09688106933</v>
      </c>
      <c r="AJ48" s="401">
        <f t="shared" si="5"/>
        <v>12958</v>
      </c>
      <c r="AK48" s="393">
        <f>(AJ48*1000)/AE48/52</f>
        <v>1.6508913752927303</v>
      </c>
      <c r="AL48" s="394"/>
    </row>
    <row r="49" spans="1:38" x14ac:dyDescent="0.2">
      <c r="A49" s="8">
        <v>12950</v>
      </c>
      <c r="B49" s="8" t="s">
        <v>114</v>
      </c>
      <c r="C49" s="8" t="s">
        <v>42</v>
      </c>
      <c r="D49" s="29" t="s">
        <v>1</v>
      </c>
      <c r="E49" s="381"/>
      <c r="F49" s="382">
        <f>'App 6 - Residual Waste'!F49</f>
        <v>975.1</v>
      </c>
      <c r="G49" s="383">
        <f t="shared" si="0"/>
        <v>16.683205584451137</v>
      </c>
      <c r="H49" s="384">
        <f t="shared" si="1"/>
        <v>9.5270611223574129</v>
      </c>
      <c r="I49" s="385"/>
      <c r="J49" s="386"/>
      <c r="K49" s="387">
        <f>'App 4 - Recyclables'!F49</f>
        <v>115.84</v>
      </c>
      <c r="L49" s="388">
        <f t="shared" si="6"/>
        <v>1.9472834857450241</v>
      </c>
      <c r="M49" s="388">
        <f t="shared" si="7"/>
        <v>1.1120098411147394</v>
      </c>
      <c r="N49" s="381"/>
      <c r="O49" s="389">
        <f>'App 5 - Organics'!F49</f>
        <v>0</v>
      </c>
      <c r="P49" s="390"/>
      <c r="Q49" s="391"/>
      <c r="R49" s="392">
        <f>'App 5 - Organics'!J49</f>
        <v>0</v>
      </c>
      <c r="S49" s="393"/>
      <c r="T49" s="394"/>
      <c r="V49" s="395">
        <f>'App 1 - Services'!G49</f>
        <v>2415</v>
      </c>
      <c r="W49" s="396">
        <f>'App 1 - Services'!M49</f>
        <v>1124</v>
      </c>
      <c r="X49" s="397">
        <f>'App 1 - Services'!N49</f>
        <v>1144</v>
      </c>
      <c r="Y49" s="398">
        <f>'App 1 - Services'!O49</f>
        <v>0</v>
      </c>
      <c r="Z49" s="392">
        <f>'App 1 - Services'!P49</f>
        <v>0</v>
      </c>
      <c r="AA49" s="2">
        <v>1</v>
      </c>
      <c r="AB49" s="399">
        <f>'App 1 - Services'!F49</f>
        <v>4229</v>
      </c>
      <c r="AC49" s="396">
        <f t="shared" si="10"/>
        <v>1968.2799171842648</v>
      </c>
      <c r="AD49" s="397">
        <f t="shared" si="11"/>
        <v>2003.3026915113871</v>
      </c>
      <c r="AE49" s="398">
        <f t="shared" si="12"/>
        <v>0</v>
      </c>
      <c r="AF49" s="392">
        <f t="shared" si="13"/>
        <v>0</v>
      </c>
      <c r="AG49" s="400"/>
      <c r="AH49" s="401">
        <f t="shared" si="3"/>
        <v>0</v>
      </c>
      <c r="AI49" s="401">
        <f t="shared" si="4"/>
        <v>0</v>
      </c>
      <c r="AJ49" s="401">
        <f t="shared" si="5"/>
        <v>0</v>
      </c>
      <c r="AK49" s="393"/>
      <c r="AL49" s="394"/>
    </row>
    <row r="50" spans="1:38" x14ac:dyDescent="0.2">
      <c r="A50" s="8">
        <v>13010</v>
      </c>
      <c r="B50" s="8" t="s">
        <v>115</v>
      </c>
      <c r="C50" s="8" t="s">
        <v>17</v>
      </c>
      <c r="D50" s="29" t="s">
        <v>1</v>
      </c>
      <c r="E50" s="381"/>
      <c r="F50" s="382">
        <f>'App 6 - Residual Waste'!F50</f>
        <v>1670.51</v>
      </c>
      <c r="G50" s="383">
        <f t="shared" si="0"/>
        <v>8.5122396151807909</v>
      </c>
      <c r="H50" s="384">
        <f t="shared" si="1"/>
        <v>5.2073071825990471</v>
      </c>
      <c r="I50" s="385"/>
      <c r="J50" s="386"/>
      <c r="K50" s="387">
        <f>'App 4 - Recyclables'!F50</f>
        <v>463.58</v>
      </c>
      <c r="L50" s="388">
        <f t="shared" si="6"/>
        <v>3.1793865905848788</v>
      </c>
      <c r="M50" s="388">
        <f t="shared" si="7"/>
        <v>1.9449690537241879</v>
      </c>
      <c r="N50" s="381"/>
      <c r="O50" s="389">
        <f>'App 5 - Organics'!F50</f>
        <v>0</v>
      </c>
      <c r="P50" s="390"/>
      <c r="Q50" s="391"/>
      <c r="R50" s="392">
        <f>'App 5 - Organics'!J50</f>
        <v>0</v>
      </c>
      <c r="S50" s="393"/>
      <c r="T50" s="394"/>
      <c r="V50" s="395">
        <f>'App 1 - Services'!G50</f>
        <v>5428</v>
      </c>
      <c r="W50" s="396">
        <f>'App 1 - Services'!M50</f>
        <v>3774</v>
      </c>
      <c r="X50" s="397">
        <f>'App 1 - Services'!N50</f>
        <v>2804</v>
      </c>
      <c r="Y50" s="398">
        <f>'App 1 - Services'!O50</f>
        <v>0</v>
      </c>
      <c r="Z50" s="392">
        <f>'App 1 - Services'!P50</f>
        <v>0</v>
      </c>
      <c r="AA50" s="2">
        <v>1</v>
      </c>
      <c r="AB50" s="399">
        <f>'App 1 - Services'!F50</f>
        <v>8873</v>
      </c>
      <c r="AC50" s="396">
        <f t="shared" si="10"/>
        <v>6169.2523949889455</v>
      </c>
      <c r="AD50" s="397">
        <f t="shared" si="11"/>
        <v>4583.6204863669864</v>
      </c>
      <c r="AE50" s="398">
        <f t="shared" si="12"/>
        <v>0</v>
      </c>
      <c r="AF50" s="392">
        <f t="shared" si="13"/>
        <v>0</v>
      </c>
      <c r="AG50" s="400"/>
      <c r="AH50" s="401">
        <f t="shared" si="3"/>
        <v>0</v>
      </c>
      <c r="AI50" s="401">
        <f t="shared" si="4"/>
        <v>0</v>
      </c>
      <c r="AJ50" s="401">
        <f t="shared" si="5"/>
        <v>0</v>
      </c>
      <c r="AK50" s="393"/>
      <c r="AL50" s="394"/>
    </row>
    <row r="51" spans="1:38" x14ac:dyDescent="0.2">
      <c r="A51" s="8">
        <v>13310</v>
      </c>
      <c r="B51" s="8" t="s">
        <v>116</v>
      </c>
      <c r="C51" s="8" t="s">
        <v>74</v>
      </c>
      <c r="D51" s="29" t="s">
        <v>1</v>
      </c>
      <c r="E51" s="381"/>
      <c r="F51" s="382">
        <f>'App 6 - Residual Waste'!F51</f>
        <v>4832</v>
      </c>
      <c r="G51" s="383">
        <f t="shared" si="0"/>
        <v>8.9349112426035511</v>
      </c>
      <c r="H51" s="384">
        <f t="shared" si="1"/>
        <v>4.7460875748646165</v>
      </c>
      <c r="I51" s="385"/>
      <c r="J51" s="386"/>
      <c r="K51" s="387">
        <f>'App 4 - Recyclables'!F51</f>
        <v>1476</v>
      </c>
      <c r="L51" s="388">
        <f t="shared" si="6"/>
        <v>2.7319167838898348</v>
      </c>
      <c r="M51" s="388">
        <f t="shared" si="7"/>
        <v>1.451152222056713</v>
      </c>
      <c r="N51" s="381"/>
      <c r="O51" s="389">
        <f>'App 5 - Organics'!F51</f>
        <v>0</v>
      </c>
      <c r="P51" s="390"/>
      <c r="Q51" s="391"/>
      <c r="R51" s="392">
        <f>'App 5 - Organics'!J51</f>
        <v>2599</v>
      </c>
      <c r="S51" s="393">
        <f t="shared" si="8"/>
        <v>4.810468645887318</v>
      </c>
      <c r="T51" s="394">
        <f t="shared" si="9"/>
        <v>2.5552470359928163</v>
      </c>
      <c r="V51" s="395">
        <f>'App 1 - Services'!G51</f>
        <v>16761</v>
      </c>
      <c r="W51" s="396">
        <f>'App 1 - Services'!M51</f>
        <v>10400</v>
      </c>
      <c r="X51" s="397">
        <f>'App 1 - Services'!N51</f>
        <v>10390</v>
      </c>
      <c r="Y51" s="398">
        <f>'App 1 - Services'!O51</f>
        <v>0</v>
      </c>
      <c r="Z51" s="392">
        <f>'App 1 - Services'!P51</f>
        <v>10390</v>
      </c>
      <c r="AB51" s="399">
        <f>'App 1 - Services'!F51</f>
        <v>31554</v>
      </c>
      <c r="AC51" s="396">
        <f t="shared" si="10"/>
        <v>19578.879541793449</v>
      </c>
      <c r="AD51" s="397">
        <f t="shared" si="11"/>
        <v>19560.053696080187</v>
      </c>
      <c r="AE51" s="398">
        <f t="shared" si="12"/>
        <v>0</v>
      </c>
      <c r="AF51" s="392">
        <f t="shared" si="13"/>
        <v>19560.053696080187</v>
      </c>
      <c r="AG51" s="400" t="s">
        <v>14</v>
      </c>
      <c r="AH51" s="401">
        <f t="shared" si="3"/>
        <v>10390</v>
      </c>
      <c r="AI51" s="401">
        <f t="shared" si="4"/>
        <v>19560.053696080187</v>
      </c>
      <c r="AJ51" s="401">
        <f t="shared" si="5"/>
        <v>2599</v>
      </c>
      <c r="AK51" s="393"/>
      <c r="AL51" s="394">
        <f>(AJ51*1000)/AF51/52</f>
        <v>2.5552470359928163</v>
      </c>
    </row>
    <row r="52" spans="1:38" x14ac:dyDescent="0.2">
      <c r="A52" s="8">
        <v>13340</v>
      </c>
      <c r="B52" s="8" t="s">
        <v>117</v>
      </c>
      <c r="C52" s="8" t="s">
        <v>22</v>
      </c>
      <c r="D52" s="29" t="s">
        <v>1</v>
      </c>
      <c r="E52" s="381"/>
      <c r="F52" s="382">
        <f>'App 6 - Residual Waste'!F52</f>
        <v>2450</v>
      </c>
      <c r="G52" s="383">
        <f t="shared" si="0"/>
        <v>12.225060875813341</v>
      </c>
      <c r="H52" s="384">
        <f t="shared" si="1"/>
        <v>7.5441063794106871</v>
      </c>
      <c r="I52" s="385"/>
      <c r="J52" s="386"/>
      <c r="K52" s="387">
        <f>'App 4 - Recyclables'!F52</f>
        <v>576</v>
      </c>
      <c r="L52" s="388">
        <f t="shared" si="6"/>
        <v>2.9744691398826739</v>
      </c>
      <c r="M52" s="388">
        <f t="shared" si="7"/>
        <v>1.8355500918563865</v>
      </c>
      <c r="N52" s="381"/>
      <c r="O52" s="389">
        <f>'App 5 - Organics'!F52</f>
        <v>0</v>
      </c>
      <c r="P52" s="390"/>
      <c r="Q52" s="391"/>
      <c r="R52" s="392">
        <f>'App 5 - Organics'!J52</f>
        <v>0</v>
      </c>
      <c r="S52" s="393"/>
      <c r="T52" s="394"/>
      <c r="V52" s="395">
        <f>'App 1 - Services'!G52</f>
        <v>6690</v>
      </c>
      <c r="W52" s="396">
        <f>'App 1 - Services'!M52</f>
        <v>3854</v>
      </c>
      <c r="X52" s="397">
        <f>'App 1 - Services'!N52</f>
        <v>3724</v>
      </c>
      <c r="Y52" s="398">
        <f>'App 1 - Services'!O52</f>
        <v>0</v>
      </c>
      <c r="Z52" s="392">
        <f>'App 1 - Services'!P52</f>
        <v>0</v>
      </c>
      <c r="AA52" s="2">
        <v>1</v>
      </c>
      <c r="AB52" s="399">
        <f>'App 1 - Services'!F52</f>
        <v>10841</v>
      </c>
      <c r="AC52" s="396">
        <f t="shared" si="10"/>
        <v>6245.3234678624804</v>
      </c>
      <c r="AD52" s="397">
        <f t="shared" si="11"/>
        <v>6034.6612855007479</v>
      </c>
      <c r="AE52" s="398">
        <f t="shared" si="12"/>
        <v>0</v>
      </c>
      <c r="AF52" s="392">
        <f t="shared" si="13"/>
        <v>0</v>
      </c>
      <c r="AG52" s="400"/>
      <c r="AH52" s="401">
        <f t="shared" si="3"/>
        <v>0</v>
      </c>
      <c r="AI52" s="401">
        <f t="shared" si="4"/>
        <v>0</v>
      </c>
      <c r="AJ52" s="401">
        <f t="shared" si="5"/>
        <v>0</v>
      </c>
      <c r="AK52" s="393"/>
      <c r="AL52" s="394"/>
    </row>
    <row r="53" spans="1:38" x14ac:dyDescent="0.2">
      <c r="A53" s="8">
        <v>13450</v>
      </c>
      <c r="B53" s="8" t="s">
        <v>118</v>
      </c>
      <c r="C53" s="8" t="s">
        <v>75</v>
      </c>
      <c r="D53" s="29" t="s">
        <v>1</v>
      </c>
      <c r="E53" s="402"/>
      <c r="F53" s="382">
        <f>'App 6 - Residual Waste'!F53</f>
        <v>9636</v>
      </c>
      <c r="G53" s="383">
        <f t="shared" si="0"/>
        <v>21.562449651814326</v>
      </c>
      <c r="H53" s="384">
        <f t="shared" si="1"/>
        <v>10.841175661801545</v>
      </c>
      <c r="I53" s="385"/>
      <c r="J53" s="386"/>
      <c r="K53" s="387">
        <f>'App 4 - Recyclables'!F53</f>
        <v>1115</v>
      </c>
      <c r="L53" s="388">
        <f t="shared" si="6"/>
        <v>2.6319268064695831</v>
      </c>
      <c r="M53" s="388">
        <f t="shared" si="7"/>
        <v>1.3232810417502934</v>
      </c>
      <c r="N53" s="381"/>
      <c r="O53" s="389">
        <f>'App 5 - Organics'!F53</f>
        <v>0</v>
      </c>
      <c r="P53" s="390"/>
      <c r="Q53" s="391"/>
      <c r="R53" s="392">
        <f>'App 5 - Organics'!J53</f>
        <v>0</v>
      </c>
      <c r="S53" s="393"/>
      <c r="T53" s="394"/>
      <c r="V53" s="395">
        <f>'App 1 - Services'!G53</f>
        <v>13653</v>
      </c>
      <c r="W53" s="396">
        <f>'App 1 - Services'!M53</f>
        <v>8594</v>
      </c>
      <c r="X53" s="397">
        <f>'App 1 - Services'!N53</f>
        <v>8147</v>
      </c>
      <c r="Y53" s="398">
        <f>'App 1 - Services'!O53</f>
        <v>0</v>
      </c>
      <c r="Z53" s="392">
        <f>'App 1 - Services'!P53</f>
        <v>0</v>
      </c>
      <c r="AA53" s="2">
        <v>1</v>
      </c>
      <c r="AB53" s="399">
        <f>'App 1 - Services'!F53</f>
        <v>27155</v>
      </c>
      <c r="AC53" s="396">
        <f t="shared" si="10"/>
        <v>17092.951732220026</v>
      </c>
      <c r="AD53" s="397">
        <f t="shared" si="11"/>
        <v>16203.895480846701</v>
      </c>
      <c r="AE53" s="398">
        <f t="shared" si="12"/>
        <v>0</v>
      </c>
      <c r="AF53" s="392">
        <f t="shared" si="13"/>
        <v>0</v>
      </c>
      <c r="AG53" s="400"/>
      <c r="AH53" s="401">
        <f t="shared" si="3"/>
        <v>0</v>
      </c>
      <c r="AI53" s="401">
        <f t="shared" si="4"/>
        <v>0</v>
      </c>
      <c r="AJ53" s="401">
        <f t="shared" si="5"/>
        <v>0</v>
      </c>
      <c r="AK53" s="393"/>
      <c r="AL53" s="394"/>
    </row>
    <row r="54" spans="1:38" x14ac:dyDescent="0.2">
      <c r="A54" s="8">
        <v>13550</v>
      </c>
      <c r="B54" s="8" t="s">
        <v>77</v>
      </c>
      <c r="C54" s="8" t="s">
        <v>17</v>
      </c>
      <c r="D54" s="29" t="s">
        <v>1</v>
      </c>
      <c r="E54" s="381"/>
      <c r="F54" s="382">
        <f>'App 6 - Residual Waste'!F54</f>
        <v>2640.66</v>
      </c>
      <c r="G54" s="383">
        <f t="shared" si="0"/>
        <v>11.317566988393821</v>
      </c>
      <c r="H54" s="384">
        <f t="shared" si="1"/>
        <v>4.284443799231199</v>
      </c>
      <c r="I54" s="385"/>
      <c r="J54" s="386"/>
      <c r="K54" s="387">
        <f>'App 4 - Recyclables'!F54</f>
        <v>693.23</v>
      </c>
      <c r="L54" s="388">
        <f t="shared" si="6"/>
        <v>2.9917742715094602</v>
      </c>
      <c r="M54" s="388">
        <f t="shared" si="7"/>
        <v>1.1325834200418792</v>
      </c>
      <c r="N54" s="381"/>
      <c r="O54" s="389">
        <f>'App 5 - Organics'!F54</f>
        <v>902.4</v>
      </c>
      <c r="P54" s="390">
        <f t="shared" si="14"/>
        <v>4.9667561974373644</v>
      </c>
      <c r="Q54" s="391">
        <f t="shared" si="15"/>
        <v>1.8802440325050513</v>
      </c>
      <c r="R54" s="392">
        <f>'App 5 - Organics'!J54</f>
        <v>0</v>
      </c>
      <c r="S54" s="393"/>
      <c r="T54" s="394"/>
      <c r="V54" s="395">
        <f>'App 1 - Services'!G54</f>
        <v>4804</v>
      </c>
      <c r="W54" s="396">
        <f>'App 1 - Services'!M54</f>
        <v>4487</v>
      </c>
      <c r="X54" s="397">
        <f>'App 1 - Services'!N54</f>
        <v>4456</v>
      </c>
      <c r="Y54" s="398">
        <f>'App 1 - Services'!O54</f>
        <v>3494</v>
      </c>
      <c r="Z54" s="392">
        <f>'App 1 - Services'!P54</f>
        <v>0</v>
      </c>
      <c r="AB54" s="399">
        <f>'App 1 - Services'!F54</f>
        <v>12690</v>
      </c>
      <c r="AC54" s="396">
        <f t="shared" si="10"/>
        <v>11852.629059117402</v>
      </c>
      <c r="AD54" s="397">
        <f t="shared" si="11"/>
        <v>11770.741049125729</v>
      </c>
      <c r="AE54" s="398">
        <f t="shared" si="12"/>
        <v>9229.5711906744382</v>
      </c>
      <c r="AF54" s="392">
        <f t="shared" si="13"/>
        <v>0</v>
      </c>
      <c r="AG54" s="400"/>
      <c r="AH54" s="401">
        <f t="shared" si="3"/>
        <v>3494</v>
      </c>
      <c r="AI54" s="401">
        <f t="shared" si="4"/>
        <v>9229.5711906744382</v>
      </c>
      <c r="AJ54" s="401">
        <f t="shared" si="5"/>
        <v>902.4</v>
      </c>
      <c r="AK54" s="393">
        <f>(AJ54*1000)/AE54/52</f>
        <v>1.8802440325050513</v>
      </c>
      <c r="AL54" s="394"/>
    </row>
    <row r="55" spans="1:38" x14ac:dyDescent="0.2">
      <c r="A55" s="8">
        <v>13660</v>
      </c>
      <c r="B55" s="8" t="s">
        <v>119</v>
      </c>
      <c r="C55" s="8" t="s">
        <v>17</v>
      </c>
      <c r="D55" s="29" t="s">
        <v>1</v>
      </c>
      <c r="E55" s="381"/>
      <c r="F55" s="382">
        <f>'App 6 - Residual Waste'!F55</f>
        <v>513.9</v>
      </c>
      <c r="G55" s="383">
        <f t="shared" si="0"/>
        <v>6.6415942928039708</v>
      </c>
      <c r="H55" s="384">
        <f t="shared" si="1"/>
        <v>4.1198189168610391</v>
      </c>
      <c r="I55" s="385"/>
      <c r="J55" s="386"/>
      <c r="K55" s="387">
        <f>'App 4 - Recyclables'!F55</f>
        <v>174.92</v>
      </c>
      <c r="L55" s="388">
        <f t="shared" si="6"/>
        <v>2.2790285595163642</v>
      </c>
      <c r="M55" s="388">
        <f t="shared" si="7"/>
        <v>1.4136944470900716</v>
      </c>
      <c r="N55" s="381"/>
      <c r="O55" s="389">
        <f>'App 5 - Organics'!F55</f>
        <v>0</v>
      </c>
      <c r="P55" s="390"/>
      <c r="Q55" s="391"/>
      <c r="R55" s="392">
        <f>'App 5 - Organics'!J55</f>
        <v>201.6</v>
      </c>
      <c r="S55" s="393">
        <f t="shared" si="8"/>
        <v>2.7263875365141184</v>
      </c>
      <c r="T55" s="394">
        <f t="shared" si="9"/>
        <v>1.6911937785472555</v>
      </c>
      <c r="V55" s="395">
        <f>'App 1 - Services'!G55</f>
        <v>3287</v>
      </c>
      <c r="W55" s="396">
        <f>'App 1 - Services'!M55</f>
        <v>1488</v>
      </c>
      <c r="X55" s="397">
        <f>'App 1 - Services'!N55</f>
        <v>1476</v>
      </c>
      <c r="Y55" s="398">
        <f>'App 1 - Services'!O55</f>
        <v>0</v>
      </c>
      <c r="Z55" s="392">
        <f>'App 1 - Services'!P55</f>
        <v>1422</v>
      </c>
      <c r="AB55" s="399">
        <f>'App 1 - Services'!F55</f>
        <v>5299</v>
      </c>
      <c r="AC55" s="396">
        <f t="shared" si="10"/>
        <v>2398.8171585031946</v>
      </c>
      <c r="AD55" s="397">
        <f t="shared" si="11"/>
        <v>2379.471858837846</v>
      </c>
      <c r="AE55" s="398">
        <f t="shared" si="12"/>
        <v>0</v>
      </c>
      <c r="AF55" s="392">
        <f t="shared" si="13"/>
        <v>2292.4180103437789</v>
      </c>
      <c r="AG55" s="400" t="s">
        <v>14</v>
      </c>
      <c r="AH55" s="401">
        <f t="shared" si="3"/>
        <v>1422</v>
      </c>
      <c r="AI55" s="401">
        <f t="shared" si="4"/>
        <v>2292.4180103437789</v>
      </c>
      <c r="AJ55" s="401">
        <f t="shared" si="5"/>
        <v>201.6</v>
      </c>
      <c r="AK55" s="393"/>
      <c r="AL55" s="394">
        <f>(AJ55*1000)/AF55/52</f>
        <v>1.6911937785472555</v>
      </c>
    </row>
    <row r="56" spans="1:38" x14ac:dyDescent="0.2">
      <c r="A56" s="8">
        <v>13800</v>
      </c>
      <c r="B56" s="8" t="s">
        <v>120</v>
      </c>
      <c r="C56" s="8" t="s">
        <v>19</v>
      </c>
      <c r="D56" s="29" t="s">
        <v>2</v>
      </c>
      <c r="E56" s="381"/>
      <c r="F56" s="382">
        <f>'App 6 - Residual Waste'!F56</f>
        <v>19975</v>
      </c>
      <c r="G56" s="383">
        <f t="shared" si="0"/>
        <v>16.129266685615359</v>
      </c>
      <c r="H56" s="384">
        <f t="shared" si="1"/>
        <v>5.9144691769729798</v>
      </c>
      <c r="I56" s="385"/>
      <c r="J56" s="386"/>
      <c r="K56" s="387">
        <f>'App 4 - Recyclables'!F56</f>
        <v>5127</v>
      </c>
      <c r="L56" s="388">
        <f t="shared" si="6"/>
        <v>4.1598242277509847</v>
      </c>
      <c r="M56" s="388">
        <f t="shared" si="7"/>
        <v>1.5253732644026883</v>
      </c>
      <c r="N56" s="381"/>
      <c r="O56" s="389">
        <f>'App 5 - Organics'!F56</f>
        <v>5380</v>
      </c>
      <c r="P56" s="390">
        <f t="shared" si="14"/>
        <v>7.3969785130148331</v>
      </c>
      <c r="Q56" s="391">
        <f t="shared" si="15"/>
        <v>2.7124110643526467</v>
      </c>
      <c r="R56" s="392">
        <f>'App 5 - Organics'!J56</f>
        <v>0</v>
      </c>
      <c r="S56" s="393"/>
      <c r="T56" s="394"/>
      <c r="V56" s="395">
        <f>'App 1 - Services'!G56</f>
        <v>24843</v>
      </c>
      <c r="W56" s="396">
        <f>'App 1 - Services'!M56</f>
        <v>23816</v>
      </c>
      <c r="X56" s="397">
        <f>'App 1 - Services'!N56</f>
        <v>23702</v>
      </c>
      <c r="Y56" s="398">
        <f>'App 1 - Services'!O56</f>
        <v>13987</v>
      </c>
      <c r="Z56" s="392">
        <f>'App 1 - Services'!P56</f>
        <v>0</v>
      </c>
      <c r="AB56" s="399">
        <f>'App 1 - Services'!F56</f>
        <v>67749</v>
      </c>
      <c r="AC56" s="396">
        <f t="shared" si="10"/>
        <v>64948.282574568286</v>
      </c>
      <c r="AD56" s="397">
        <f t="shared" si="11"/>
        <v>64637.394759087067</v>
      </c>
      <c r="AE56" s="398">
        <f t="shared" si="12"/>
        <v>38143.75329066538</v>
      </c>
      <c r="AF56" s="392">
        <f t="shared" si="13"/>
        <v>0</v>
      </c>
      <c r="AG56" s="400"/>
      <c r="AH56" s="401">
        <f t="shared" si="3"/>
        <v>13987</v>
      </c>
      <c r="AI56" s="401">
        <f t="shared" si="4"/>
        <v>38143.75329066538</v>
      </c>
      <c r="AJ56" s="401">
        <f t="shared" si="5"/>
        <v>5380</v>
      </c>
      <c r="AK56" s="393">
        <f>(AJ56*1000)/AE56/52</f>
        <v>2.7124110643526467</v>
      </c>
      <c r="AL56" s="394"/>
    </row>
    <row r="57" spans="1:38" x14ac:dyDescent="0.2">
      <c r="A57" s="8">
        <v>13850</v>
      </c>
      <c r="B57" s="8" t="s">
        <v>121</v>
      </c>
      <c r="C57" s="8" t="s">
        <v>75</v>
      </c>
      <c r="D57" s="29" t="s">
        <v>1</v>
      </c>
      <c r="E57" s="381"/>
      <c r="F57" s="382">
        <f>'App 6 - Residual Waste'!F57</f>
        <v>1122</v>
      </c>
      <c r="G57" s="383">
        <f t="shared" si="0"/>
        <v>17.861691288843609</v>
      </c>
      <c r="H57" s="384">
        <f t="shared" si="1"/>
        <v>10.918512615912217</v>
      </c>
      <c r="I57" s="385"/>
      <c r="J57" s="386"/>
      <c r="K57" s="387">
        <f>'App 4 - Recyclables'!F57</f>
        <v>0</v>
      </c>
      <c r="L57" s="388"/>
      <c r="M57" s="388"/>
      <c r="N57" s="381"/>
      <c r="O57" s="389">
        <f>'App 5 - Organics'!F57</f>
        <v>0</v>
      </c>
      <c r="P57" s="390"/>
      <c r="Q57" s="391"/>
      <c r="R57" s="392">
        <f>'App 5 - Organics'!J57</f>
        <v>0</v>
      </c>
      <c r="S57" s="393"/>
      <c r="T57" s="394"/>
      <c r="V57" s="395">
        <f>'App 1 - Services'!G57</f>
        <v>1799</v>
      </c>
      <c r="W57" s="396">
        <f>'App 1 - Services'!M57</f>
        <v>1208</v>
      </c>
      <c r="X57" s="397">
        <f>'App 1 - Services'!N57</f>
        <v>0</v>
      </c>
      <c r="Y57" s="398">
        <f>'App 1 - Services'!O57</f>
        <v>0</v>
      </c>
      <c r="Z57" s="392">
        <f>'App 1 - Services'!P57</f>
        <v>0</v>
      </c>
      <c r="AA57" s="2">
        <v>1</v>
      </c>
      <c r="AB57" s="399">
        <f>'App 1 - Services'!F57</f>
        <v>2943</v>
      </c>
      <c r="AC57" s="396">
        <f t="shared" si="10"/>
        <v>1976.1778765981098</v>
      </c>
      <c r="AD57" s="397">
        <f t="shared" si="11"/>
        <v>0</v>
      </c>
      <c r="AE57" s="398">
        <f t="shared" si="12"/>
        <v>0</v>
      </c>
      <c r="AF57" s="392">
        <f t="shared" si="13"/>
        <v>0</v>
      </c>
      <c r="AG57" s="400"/>
      <c r="AH57" s="401">
        <f t="shared" si="3"/>
        <v>0</v>
      </c>
      <c r="AI57" s="401">
        <f t="shared" si="4"/>
        <v>0</v>
      </c>
      <c r="AJ57" s="401">
        <f t="shared" si="5"/>
        <v>0</v>
      </c>
      <c r="AK57" s="393"/>
      <c r="AL57" s="394"/>
    </row>
    <row r="58" spans="1:38" x14ac:dyDescent="0.2">
      <c r="A58" s="8">
        <v>13910</v>
      </c>
      <c r="B58" s="8" t="s">
        <v>122</v>
      </c>
      <c r="C58" s="8" t="s">
        <v>74</v>
      </c>
      <c r="D58" s="29" t="s">
        <v>1</v>
      </c>
      <c r="E58" s="381"/>
      <c r="F58" s="382">
        <f>'App 6 - Residual Waste'!F58</f>
        <v>6892</v>
      </c>
      <c r="G58" s="383">
        <f t="shared" si="0"/>
        <v>13.182659790974888</v>
      </c>
      <c r="H58" s="384">
        <f t="shared" si="1"/>
        <v>8.1105540766947612</v>
      </c>
      <c r="I58" s="385"/>
      <c r="J58" s="386"/>
      <c r="K58" s="387">
        <f>'App 4 - Recyclables'!F58</f>
        <v>1570.74</v>
      </c>
      <c r="L58" s="388">
        <f t="shared" si="6"/>
        <v>5.9767586983653462</v>
      </c>
      <c r="M58" s="388">
        <f t="shared" si="7"/>
        <v>3.6771657158015079</v>
      </c>
      <c r="N58" s="381"/>
      <c r="O58" s="389">
        <f>'App 5 - Organics'!F58</f>
        <v>4240.8999999999996</v>
      </c>
      <c r="P58" s="390">
        <f t="shared" si="14"/>
        <v>18.594566628082358</v>
      </c>
      <c r="Q58" s="391">
        <f t="shared" si="15"/>
        <v>11.440197999573257</v>
      </c>
      <c r="R58" s="392">
        <f>'App 5 - Organics'!J58</f>
        <v>0</v>
      </c>
      <c r="S58" s="393"/>
      <c r="T58" s="394"/>
      <c r="V58" s="395">
        <f>'App 1 - Services'!G58</f>
        <v>11454</v>
      </c>
      <c r="W58" s="396">
        <f>'App 1 - Services'!M58</f>
        <v>10054</v>
      </c>
      <c r="X58" s="397">
        <f>'App 1 - Services'!N58</f>
        <v>5054</v>
      </c>
      <c r="Y58" s="398">
        <f>'App 1 - Services'!O58</f>
        <v>4386</v>
      </c>
      <c r="Z58" s="392">
        <f>'App 1 - Services'!P58</f>
        <v>0</v>
      </c>
      <c r="AB58" s="399">
        <f>'App 1 - Services'!F58</f>
        <v>18617</v>
      </c>
      <c r="AC58" s="396">
        <f t="shared" si="10"/>
        <v>16341.48053081893</v>
      </c>
      <c r="AD58" s="397">
        <f t="shared" si="11"/>
        <v>8214.6252837436714</v>
      </c>
      <c r="AE58" s="398">
        <f t="shared" si="12"/>
        <v>7128.8774227344165</v>
      </c>
      <c r="AF58" s="392">
        <f t="shared" si="13"/>
        <v>0</v>
      </c>
      <c r="AG58" s="400"/>
      <c r="AH58" s="401">
        <f t="shared" si="3"/>
        <v>4386</v>
      </c>
      <c r="AI58" s="401">
        <f t="shared" si="4"/>
        <v>7128.8774227344165</v>
      </c>
      <c r="AJ58" s="401">
        <f t="shared" si="5"/>
        <v>4240.8999999999996</v>
      </c>
      <c r="AK58" s="393">
        <f>(AJ58*1000)/AE58/52</f>
        <v>11.440197999573257</v>
      </c>
      <c r="AL58" s="394"/>
    </row>
    <row r="59" spans="1:38" x14ac:dyDescent="0.2">
      <c r="A59" s="8">
        <v>14000</v>
      </c>
      <c r="B59" s="8" t="s">
        <v>123</v>
      </c>
      <c r="C59" s="8" t="s">
        <v>26</v>
      </c>
      <c r="D59" s="29" t="s">
        <v>3</v>
      </c>
      <c r="E59" s="402"/>
      <c r="F59" s="382">
        <f>'App 6 - Residual Waste'!F59</f>
        <v>32543</v>
      </c>
      <c r="G59" s="383">
        <f t="shared" si="0"/>
        <v>11.923238132085869</v>
      </c>
      <c r="H59" s="384">
        <f t="shared" si="1"/>
        <v>4.1059639748123464</v>
      </c>
      <c r="I59" s="385"/>
      <c r="J59" s="386"/>
      <c r="K59" s="387">
        <f>'App 4 - Recyclables'!F59</f>
        <v>10877</v>
      </c>
      <c r="L59" s="388">
        <f t="shared" si="6"/>
        <v>3.985159977958332</v>
      </c>
      <c r="M59" s="388">
        <f t="shared" si="7"/>
        <v>1.3723556572545215</v>
      </c>
      <c r="N59" s="381"/>
      <c r="O59" s="389">
        <f>'App 5 - Organics'!F59</f>
        <v>18647</v>
      </c>
      <c r="P59" s="390">
        <f t="shared" si="14"/>
        <v>6.8319645222937408</v>
      </c>
      <c r="Q59" s="391">
        <f t="shared" si="15"/>
        <v>2.3526998198791085</v>
      </c>
      <c r="R59" s="392">
        <f>'App 5 - Organics'!J59</f>
        <v>0</v>
      </c>
      <c r="S59" s="393"/>
      <c r="T59" s="394"/>
      <c r="V59" s="395">
        <f>'App 1 - Services'!G59</f>
        <v>52488</v>
      </c>
      <c r="W59" s="396">
        <f>'App 1 - Services'!M59</f>
        <v>52488</v>
      </c>
      <c r="X59" s="397">
        <f>'App 1 - Services'!N59</f>
        <v>52488</v>
      </c>
      <c r="Y59" s="398">
        <f>'App 1 - Services'!O59</f>
        <v>52488</v>
      </c>
      <c r="Z59" s="392">
        <f>'App 1 - Services'!P59</f>
        <v>0</v>
      </c>
      <c r="AB59" s="399">
        <f>'App 1 - Services'!F59</f>
        <v>152419</v>
      </c>
      <c r="AC59" s="396">
        <f t="shared" si="10"/>
        <v>152419</v>
      </c>
      <c r="AD59" s="397">
        <f t="shared" si="11"/>
        <v>152419</v>
      </c>
      <c r="AE59" s="398">
        <f t="shared" si="12"/>
        <v>152419</v>
      </c>
      <c r="AF59" s="392">
        <f t="shared" si="13"/>
        <v>0</v>
      </c>
      <c r="AG59" s="400"/>
      <c r="AH59" s="401">
        <f t="shared" si="3"/>
        <v>52488</v>
      </c>
      <c r="AI59" s="401">
        <f t="shared" si="4"/>
        <v>152419</v>
      </c>
      <c r="AJ59" s="401">
        <f t="shared" si="5"/>
        <v>18647</v>
      </c>
      <c r="AK59" s="393">
        <f>(AJ59*1000)/AE59/52</f>
        <v>2.3526998198791085</v>
      </c>
      <c r="AL59" s="394"/>
    </row>
    <row r="60" spans="1:38" x14ac:dyDescent="0.2">
      <c r="A60" s="8">
        <v>14100</v>
      </c>
      <c r="B60" s="8" t="s">
        <v>56</v>
      </c>
      <c r="C60" s="8" t="s">
        <v>26</v>
      </c>
      <c r="D60" s="29" t="s">
        <v>3</v>
      </c>
      <c r="E60" s="381"/>
      <c r="F60" s="382">
        <f>'App 6 - Residual Waste'!F60</f>
        <v>3091</v>
      </c>
      <c r="G60" s="383">
        <f t="shared" si="0"/>
        <v>12.06705393672507</v>
      </c>
      <c r="H60" s="384">
        <f t="shared" si="1"/>
        <v>4.2237108318827152</v>
      </c>
      <c r="I60" s="385"/>
      <c r="J60" s="386"/>
      <c r="K60" s="387">
        <f>'App 4 - Recyclables'!F60</f>
        <v>1126</v>
      </c>
      <c r="L60" s="388">
        <f t="shared" si="6"/>
        <v>4.470240741917042</v>
      </c>
      <c r="M60" s="388">
        <f t="shared" si="7"/>
        <v>1.5646738915532383</v>
      </c>
      <c r="N60" s="381"/>
      <c r="O60" s="389">
        <f>'App 5 - Organics'!F60</f>
        <v>1518</v>
      </c>
      <c r="P60" s="390">
        <f t="shared" si="14"/>
        <v>6.2203937124030881</v>
      </c>
      <c r="Q60" s="391">
        <f t="shared" si="15"/>
        <v>2.1772625231823932</v>
      </c>
      <c r="R60" s="392">
        <f>'App 5 - Organics'!J60</f>
        <v>0</v>
      </c>
      <c r="S60" s="393"/>
      <c r="T60" s="394"/>
      <c r="V60" s="395">
        <f>'App 1 - Services'!G60</f>
        <v>5237</v>
      </c>
      <c r="W60" s="396">
        <f>'App 1 - Services'!M60</f>
        <v>4926</v>
      </c>
      <c r="X60" s="397">
        <f>'App 1 - Services'!N60</f>
        <v>4844</v>
      </c>
      <c r="Y60" s="398">
        <f>'App 1 - Services'!O60</f>
        <v>4693</v>
      </c>
      <c r="Z60" s="392">
        <f>'App 1 - Services'!P60</f>
        <v>0</v>
      </c>
      <c r="AB60" s="399">
        <f>'App 1 - Services'!F60</f>
        <v>14962</v>
      </c>
      <c r="AC60" s="396">
        <f t="shared" si="10"/>
        <v>14073.479472980714</v>
      </c>
      <c r="AD60" s="397">
        <f t="shared" si="11"/>
        <v>13839.207179683024</v>
      </c>
      <c r="AE60" s="398">
        <f t="shared" si="12"/>
        <v>13407.803322512889</v>
      </c>
      <c r="AF60" s="392">
        <f t="shared" si="13"/>
        <v>0</v>
      </c>
      <c r="AG60" s="400"/>
      <c r="AH60" s="401">
        <f t="shared" si="3"/>
        <v>4693</v>
      </c>
      <c r="AI60" s="401">
        <f t="shared" si="4"/>
        <v>13407.803322512889</v>
      </c>
      <c r="AJ60" s="401">
        <f t="shared" si="5"/>
        <v>1518</v>
      </c>
      <c r="AK60" s="393">
        <f>(AJ60*1000)/AE60/52</f>
        <v>2.1772625231823932</v>
      </c>
      <c r="AL60" s="394"/>
    </row>
    <row r="61" spans="1:38" x14ac:dyDescent="0.2">
      <c r="A61" s="8">
        <v>14170</v>
      </c>
      <c r="B61" s="8" t="s">
        <v>57</v>
      </c>
      <c r="C61" s="8" t="s">
        <v>18</v>
      </c>
      <c r="D61" s="29" t="s">
        <v>3</v>
      </c>
      <c r="E61" s="381"/>
      <c r="F61" s="382">
        <f>'App 6 - Residual Waste'!F61</f>
        <v>37629.58</v>
      </c>
      <c r="G61" s="383">
        <f t="shared" si="0"/>
        <v>10.325700882263193</v>
      </c>
      <c r="H61" s="384">
        <f t="shared" si="1"/>
        <v>4.0064517327548952</v>
      </c>
      <c r="I61" s="385"/>
      <c r="J61" s="386"/>
      <c r="K61" s="387">
        <f>'App 4 - Recyclables'!F61</f>
        <v>11426</v>
      </c>
      <c r="L61" s="388">
        <f t="shared" si="6"/>
        <v>3.2082168087424328</v>
      </c>
      <c r="M61" s="388">
        <f t="shared" si="7"/>
        <v>1.2448129128472532</v>
      </c>
      <c r="N61" s="381"/>
      <c r="O61" s="389">
        <f>'App 5 - Organics'!F61</f>
        <v>7398</v>
      </c>
      <c r="P61" s="390">
        <f t="shared" si="14"/>
        <v>4.128772150711904</v>
      </c>
      <c r="Q61" s="391">
        <f t="shared" si="15"/>
        <v>1.6019954989965035</v>
      </c>
      <c r="R61" s="392">
        <f>'App 5 - Organics'!J61</f>
        <v>0</v>
      </c>
      <c r="S61" s="393"/>
      <c r="T61" s="394"/>
      <c r="V61" s="395">
        <f>'App 1 - Services'!G61</f>
        <v>78331</v>
      </c>
      <c r="W61" s="396">
        <f>'App 1 - Services'!M61</f>
        <v>70082</v>
      </c>
      <c r="X61" s="397">
        <f>'App 1 - Services'!N61</f>
        <v>68490</v>
      </c>
      <c r="Y61" s="398">
        <f>'App 1 - Services'!O61</f>
        <v>34458</v>
      </c>
      <c r="Z61" s="392">
        <f>'App 1 - Services'!P61</f>
        <v>0</v>
      </c>
      <c r="AB61" s="399">
        <f>'App 1 - Services'!F61</f>
        <v>201880</v>
      </c>
      <c r="AC61" s="396">
        <f t="shared" si="10"/>
        <v>180620.11413105924</v>
      </c>
      <c r="AD61" s="397">
        <f t="shared" si="11"/>
        <v>176517.10306264443</v>
      </c>
      <c r="AE61" s="398">
        <f t="shared" si="12"/>
        <v>88807.509670500818</v>
      </c>
      <c r="AF61" s="392">
        <f t="shared" si="13"/>
        <v>0</v>
      </c>
      <c r="AG61" s="400" t="s">
        <v>14</v>
      </c>
      <c r="AH61" s="401">
        <f t="shared" si="3"/>
        <v>34458</v>
      </c>
      <c r="AI61" s="401">
        <f t="shared" si="4"/>
        <v>88807.509670500818</v>
      </c>
      <c r="AJ61" s="401">
        <f t="shared" si="5"/>
        <v>7398</v>
      </c>
      <c r="AK61" s="393">
        <f>(AJ61*1000)/AE61/52</f>
        <v>1.6019954989965035</v>
      </c>
      <c r="AL61" s="394" t="e">
        <f>(AJ61*1000)/AF61/52</f>
        <v>#DIV/0!</v>
      </c>
    </row>
    <row r="62" spans="1:38" x14ac:dyDescent="0.2">
      <c r="A62" s="8">
        <v>14200</v>
      </c>
      <c r="B62" s="8" t="s">
        <v>124</v>
      </c>
      <c r="C62" s="8" t="s">
        <v>17</v>
      </c>
      <c r="D62" s="29" t="s">
        <v>1</v>
      </c>
      <c r="E62" s="381"/>
      <c r="F62" s="382">
        <f>'App 6 - Residual Waste'!F62</f>
        <v>5035</v>
      </c>
      <c r="G62" s="383">
        <f t="shared" si="0"/>
        <v>13.608843721282231</v>
      </c>
      <c r="H62" s="384">
        <f t="shared" si="1"/>
        <v>6.5725051200590849</v>
      </c>
      <c r="I62" s="385"/>
      <c r="J62" s="386"/>
      <c r="K62" s="387">
        <f>'App 4 - Recyclables'!F62</f>
        <v>864.11</v>
      </c>
      <c r="L62" s="388">
        <f t="shared" si="6"/>
        <v>2.3355586788475056</v>
      </c>
      <c r="M62" s="388">
        <f t="shared" si="7"/>
        <v>1.1279776364040228</v>
      </c>
      <c r="N62" s="381"/>
      <c r="O62" s="389">
        <f>'App 5 - Organics'!F62</f>
        <v>0</v>
      </c>
      <c r="P62" s="390"/>
      <c r="Q62" s="391"/>
      <c r="R62" s="392">
        <f>'App 5 - Organics'!J62</f>
        <v>0</v>
      </c>
      <c r="S62" s="393"/>
      <c r="T62" s="394"/>
      <c r="V62" s="395">
        <f>'App 1 - Services'!G62</f>
        <v>8587</v>
      </c>
      <c r="W62" s="396">
        <f>'App 1 - Services'!M62</f>
        <v>7115</v>
      </c>
      <c r="X62" s="397">
        <f>'App 1 - Services'!N62</f>
        <v>7115</v>
      </c>
      <c r="Y62" s="398">
        <f>'App 1 - Services'!O62</f>
        <v>0</v>
      </c>
      <c r="Z62" s="392">
        <f>'App 1 - Services'!P62</f>
        <v>0</v>
      </c>
      <c r="AA62" s="2">
        <v>1</v>
      </c>
      <c r="AB62" s="399">
        <f>'App 1 - Services'!F62</f>
        <v>17780</v>
      </c>
      <c r="AC62" s="396">
        <f t="shared" si="10"/>
        <v>14732.118318388262</v>
      </c>
      <c r="AD62" s="397">
        <f t="shared" si="11"/>
        <v>14732.118318388262</v>
      </c>
      <c r="AE62" s="398">
        <f t="shared" si="12"/>
        <v>0</v>
      </c>
      <c r="AF62" s="392">
        <f t="shared" si="13"/>
        <v>0</v>
      </c>
      <c r="AG62" s="400"/>
      <c r="AH62" s="401">
        <f t="shared" si="3"/>
        <v>0</v>
      </c>
      <c r="AI62" s="401">
        <f t="shared" si="4"/>
        <v>0</v>
      </c>
      <c r="AJ62" s="401">
        <f t="shared" si="5"/>
        <v>0</v>
      </c>
      <c r="AK62" s="393"/>
      <c r="AL62" s="394"/>
    </row>
    <row r="63" spans="1:38" x14ac:dyDescent="0.2">
      <c r="A63" s="8">
        <v>14300</v>
      </c>
      <c r="B63" s="8" t="s">
        <v>125</v>
      </c>
      <c r="C63" s="8" t="s">
        <v>22</v>
      </c>
      <c r="D63" s="29" t="s">
        <v>1</v>
      </c>
      <c r="E63" s="381"/>
      <c r="F63" s="382">
        <f>'App 6 - Residual Waste'!F63</f>
        <v>878.5</v>
      </c>
      <c r="G63" s="383">
        <f t="shared" si="0"/>
        <v>8.6063325365413998</v>
      </c>
      <c r="H63" s="384">
        <f t="shared" si="1"/>
        <v>3.9795908538501052</v>
      </c>
      <c r="I63" s="385"/>
      <c r="J63" s="386"/>
      <c r="K63" s="387">
        <f>'App 4 - Recyclables'!F63</f>
        <v>349.9</v>
      </c>
      <c r="L63" s="388">
        <f t="shared" si="6"/>
        <v>3.4471547919293823</v>
      </c>
      <c r="M63" s="388">
        <f t="shared" si="7"/>
        <v>1.5939734635539249</v>
      </c>
      <c r="N63" s="381"/>
      <c r="O63" s="389">
        <f>'App 5 - Organics'!F63</f>
        <v>0</v>
      </c>
      <c r="P63" s="390"/>
      <c r="Q63" s="391"/>
      <c r="R63" s="392">
        <f>'App 5 - Organics'!J63</f>
        <v>760.4</v>
      </c>
      <c r="S63" s="393">
        <f t="shared" ref="S63" si="20">(R63*1000)/Z63/52</f>
        <v>8.5917020699629383</v>
      </c>
      <c r="T63" s="394">
        <f t="shared" ref="T63" si="21">(R63*1000)/AF63/52</f>
        <v>3.9728256875337915</v>
      </c>
      <c r="V63" s="395">
        <f>'App 1 - Services'!G63</f>
        <v>3087</v>
      </c>
      <c r="W63" s="396">
        <f>'App 1 - Services'!M63</f>
        <v>1963</v>
      </c>
      <c r="X63" s="397">
        <f>'App 1 - Services'!N63</f>
        <v>1952</v>
      </c>
      <c r="Y63" s="398">
        <f>'App 1 - Services'!O63</f>
        <v>0</v>
      </c>
      <c r="Z63" s="392">
        <f>'App 1 - Services'!P63</f>
        <v>1702</v>
      </c>
      <c r="AB63" s="399">
        <f>'App 1 - Services'!F63</f>
        <v>6676</v>
      </c>
      <c r="AC63" s="396">
        <f t="shared" si="10"/>
        <v>4245.2180110139298</v>
      </c>
      <c r="AD63" s="397">
        <f t="shared" si="11"/>
        <v>4221.4292193067704</v>
      </c>
      <c r="AE63" s="398">
        <f t="shared" si="12"/>
        <v>0</v>
      </c>
      <c r="AF63" s="392">
        <f t="shared" si="13"/>
        <v>3680.7748623258831</v>
      </c>
      <c r="AG63" s="400" t="s">
        <v>14</v>
      </c>
      <c r="AH63" s="401">
        <f t="shared" si="3"/>
        <v>1702</v>
      </c>
      <c r="AI63" s="401">
        <f t="shared" si="4"/>
        <v>3680.7748623258831</v>
      </c>
      <c r="AJ63" s="401">
        <f t="shared" si="5"/>
        <v>760.4</v>
      </c>
      <c r="AK63" s="393"/>
      <c r="AL63" s="394">
        <f>(AJ63*1000)/AF63/52</f>
        <v>3.9728256875337915</v>
      </c>
    </row>
    <row r="64" spans="1:38" x14ac:dyDescent="0.2">
      <c r="A64" s="8">
        <v>14350</v>
      </c>
      <c r="B64" s="8" t="s">
        <v>126</v>
      </c>
      <c r="C64" s="8" t="s">
        <v>43</v>
      </c>
      <c r="D64" s="29" t="s">
        <v>4</v>
      </c>
      <c r="E64" s="402"/>
      <c r="F64" s="382">
        <f>'App 6 - Residual Waste'!F64</f>
        <v>5223</v>
      </c>
      <c r="G64" s="383">
        <f t="shared" si="0"/>
        <v>8.3743794974410282</v>
      </c>
      <c r="H64" s="384">
        <f t="shared" si="1"/>
        <v>4.3938833505005421</v>
      </c>
      <c r="I64" s="385"/>
      <c r="J64" s="386"/>
      <c r="K64" s="387">
        <f>'App 4 - Recyclables'!F64</f>
        <v>2208</v>
      </c>
      <c r="L64" s="388">
        <f t="shared" si="6"/>
        <v>3.4149540342237783</v>
      </c>
      <c r="M64" s="388">
        <f t="shared" si="7"/>
        <v>1.7917637573369576</v>
      </c>
      <c r="N64" s="381"/>
      <c r="O64" s="389">
        <f>'App 5 - Organics'!F64</f>
        <v>0</v>
      </c>
      <c r="P64" s="390"/>
      <c r="Q64" s="391"/>
      <c r="R64" s="392">
        <f>'App 5 - Organics'!J64</f>
        <v>4137</v>
      </c>
      <c r="S64" s="393">
        <f t="shared" si="8"/>
        <v>6.8934834336445983</v>
      </c>
      <c r="T64" s="394">
        <f t="shared" si="9"/>
        <v>3.6168843429292656</v>
      </c>
      <c r="V64" s="395">
        <f>'App 1 - Services'!G64</f>
        <v>15699</v>
      </c>
      <c r="W64" s="396">
        <f>'App 1 - Services'!M64</f>
        <v>11994</v>
      </c>
      <c r="X64" s="397">
        <f>'App 1 - Services'!N64</f>
        <v>12434</v>
      </c>
      <c r="Y64" s="398">
        <f>'App 1 - Services'!O64</f>
        <v>0</v>
      </c>
      <c r="Z64" s="392">
        <f>'App 1 - Services'!P64</f>
        <v>11541</v>
      </c>
      <c r="AB64" s="399">
        <f>'App 1 - Services'!F64</f>
        <v>29921</v>
      </c>
      <c r="AC64" s="396">
        <f t="shared" si="10"/>
        <v>22859.575386967321</v>
      </c>
      <c r="AD64" s="397">
        <f t="shared" si="11"/>
        <v>23698.17911968915</v>
      </c>
      <c r="AE64" s="398">
        <f t="shared" si="12"/>
        <v>0</v>
      </c>
      <c r="AF64" s="392">
        <f t="shared" si="13"/>
        <v>21996.194725778711</v>
      </c>
      <c r="AG64" s="400" t="s">
        <v>14</v>
      </c>
      <c r="AH64" s="401">
        <f t="shared" si="3"/>
        <v>11541</v>
      </c>
      <c r="AI64" s="401">
        <f t="shared" si="4"/>
        <v>21996.194725778711</v>
      </c>
      <c r="AJ64" s="401">
        <f t="shared" si="5"/>
        <v>4137</v>
      </c>
      <c r="AK64" s="393"/>
      <c r="AL64" s="394">
        <f>(AJ64*1000)/AF64/52</f>
        <v>3.6168843429292656</v>
      </c>
    </row>
    <row r="65" spans="1:38" x14ac:dyDescent="0.2">
      <c r="A65" s="8">
        <v>14400</v>
      </c>
      <c r="B65" s="8" t="s">
        <v>127</v>
      </c>
      <c r="C65" s="8" t="s">
        <v>41</v>
      </c>
      <c r="D65" s="29" t="s">
        <v>2</v>
      </c>
      <c r="E65" s="381"/>
      <c r="F65" s="382">
        <f>'App 6 - Residual Waste'!F65</f>
        <v>3021.53</v>
      </c>
      <c r="G65" s="383">
        <f t="shared" si="0"/>
        <v>5.7253272395158294</v>
      </c>
      <c r="H65" s="384">
        <f t="shared" si="1"/>
        <v>2.9947679615943255</v>
      </c>
      <c r="I65" s="385"/>
      <c r="J65" s="386"/>
      <c r="K65" s="387">
        <f>'App 4 - Recyclables'!F65</f>
        <v>2626.21</v>
      </c>
      <c r="L65" s="388">
        <f t="shared" si="6"/>
        <v>5.2608373397435892</v>
      </c>
      <c r="M65" s="388">
        <f t="shared" si="7"/>
        <v>2.7518055225705442</v>
      </c>
      <c r="N65" s="381"/>
      <c r="O65" s="389">
        <f>'App 5 - Organics'!F65</f>
        <v>0</v>
      </c>
      <c r="P65" s="390"/>
      <c r="Q65" s="391"/>
      <c r="R65" s="392">
        <f>'App 5 - Organics'!J65</f>
        <v>4889.91</v>
      </c>
      <c r="S65" s="393">
        <f t="shared" si="8"/>
        <v>9.7730961098764055</v>
      </c>
      <c r="T65" s="394">
        <f t="shared" si="9"/>
        <v>5.112049301467545</v>
      </c>
      <c r="V65" s="395">
        <f>'App 1 - Services'!G65</f>
        <v>12389</v>
      </c>
      <c r="W65" s="396">
        <f>'App 1 - Services'!M65</f>
        <v>10149</v>
      </c>
      <c r="X65" s="397">
        <f>'App 1 - Services'!N65</f>
        <v>9600</v>
      </c>
      <c r="Y65" s="398">
        <f>'App 1 - Services'!O65</f>
        <v>0</v>
      </c>
      <c r="Z65" s="392">
        <f>'App 1 - Services'!P65</f>
        <v>9622</v>
      </c>
      <c r="AB65" s="399">
        <f>'App 1 - Services'!F65</f>
        <v>23685</v>
      </c>
      <c r="AC65" s="396">
        <f t="shared" si="10"/>
        <v>19402.620469771573</v>
      </c>
      <c r="AD65" s="397">
        <f t="shared" si="11"/>
        <v>18353.055129550408</v>
      </c>
      <c r="AE65" s="398">
        <f t="shared" si="12"/>
        <v>0</v>
      </c>
      <c r="AF65" s="392">
        <f t="shared" si="13"/>
        <v>18395.114214222293</v>
      </c>
      <c r="AG65" s="400" t="s">
        <v>14</v>
      </c>
      <c r="AH65" s="401">
        <f t="shared" si="3"/>
        <v>9622</v>
      </c>
      <c r="AI65" s="401">
        <f t="shared" si="4"/>
        <v>18395.114214222293</v>
      </c>
      <c r="AJ65" s="401">
        <f t="shared" si="5"/>
        <v>4889.91</v>
      </c>
      <c r="AK65" s="393"/>
      <c r="AL65" s="394">
        <f>(AJ65*1000)/AF65/52</f>
        <v>5.112049301467545</v>
      </c>
    </row>
    <row r="66" spans="1:38" x14ac:dyDescent="0.2">
      <c r="A66" s="8">
        <v>14500</v>
      </c>
      <c r="B66" s="8" t="s">
        <v>58</v>
      </c>
      <c r="C66" s="8" t="s">
        <v>26</v>
      </c>
      <c r="D66" s="29" t="s">
        <v>3</v>
      </c>
      <c r="E66" s="381"/>
      <c r="F66" s="382">
        <f>'App 6 - Residual Waste'!F66</f>
        <v>23344.05</v>
      </c>
      <c r="G66" s="383">
        <f t="shared" si="0"/>
        <v>10.072336514730502</v>
      </c>
      <c r="H66" s="384">
        <f t="shared" si="1"/>
        <v>3.5181307528940424</v>
      </c>
      <c r="I66" s="385"/>
      <c r="J66" s="386"/>
      <c r="K66" s="387">
        <f>'App 4 - Recyclables'!F66</f>
        <v>10453.370000000001</v>
      </c>
      <c r="L66" s="388">
        <f t="shared" si="6"/>
        <v>6.3783464845590041</v>
      </c>
      <c r="M66" s="388">
        <f t="shared" si="7"/>
        <v>2.2278700564782556</v>
      </c>
      <c r="N66" s="381"/>
      <c r="O66" s="389">
        <f>'App 5 - Organics'!F66</f>
        <v>20803.759999999998</v>
      </c>
      <c r="P66" s="390">
        <f t="shared" si="14"/>
        <v>12.866543631964614</v>
      </c>
      <c r="Q66" s="391">
        <f t="shared" si="15"/>
        <v>4.4941094619770912</v>
      </c>
      <c r="R66" s="392">
        <f>'App 5 - Organics'!J66</f>
        <v>0</v>
      </c>
      <c r="S66" s="393"/>
      <c r="T66" s="394"/>
      <c r="V66" s="395">
        <f>'App 1 - Services'!G66</f>
        <v>44570</v>
      </c>
      <c r="W66" s="396">
        <f>'App 1 - Services'!M66</f>
        <v>44570</v>
      </c>
      <c r="X66" s="397">
        <f>'App 1 - Services'!N66</f>
        <v>31517</v>
      </c>
      <c r="Y66" s="398">
        <f>'App 1 - Services'!O66</f>
        <v>31094</v>
      </c>
      <c r="Z66" s="392">
        <f>'App 1 - Services'!P66</f>
        <v>0</v>
      </c>
      <c r="AB66" s="399">
        <f>'App 1 - Services'!F66</f>
        <v>127603</v>
      </c>
      <c r="AC66" s="396">
        <f t="shared" si="10"/>
        <v>127603</v>
      </c>
      <c r="AD66" s="397">
        <f t="shared" si="11"/>
        <v>90232.527507291903</v>
      </c>
      <c r="AE66" s="398">
        <f t="shared" si="12"/>
        <v>89021.487143818711</v>
      </c>
      <c r="AF66" s="392">
        <f t="shared" si="13"/>
        <v>0</v>
      </c>
      <c r="AG66" s="400"/>
      <c r="AH66" s="401">
        <f t="shared" si="3"/>
        <v>31094</v>
      </c>
      <c r="AI66" s="401">
        <f t="shared" si="4"/>
        <v>89021.487143818711</v>
      </c>
      <c r="AJ66" s="401">
        <f t="shared" si="5"/>
        <v>20803.759999999998</v>
      </c>
      <c r="AK66" s="393">
        <f>(AJ66*1000)/AE66/52</f>
        <v>4.4941094619770912</v>
      </c>
      <c r="AL66" s="394"/>
    </row>
    <row r="67" spans="1:38" x14ac:dyDescent="0.2">
      <c r="A67" s="8">
        <v>14550</v>
      </c>
      <c r="B67" s="8" t="s">
        <v>128</v>
      </c>
      <c r="C67" s="8" t="s">
        <v>20</v>
      </c>
      <c r="D67" s="29" t="s">
        <v>4</v>
      </c>
      <c r="E67" s="381"/>
      <c r="F67" s="382">
        <f>'App 6 - Residual Waste'!F67</f>
        <v>1021.16</v>
      </c>
      <c r="G67" s="383">
        <f t="shared" si="0"/>
        <v>9.9683717297930503</v>
      </c>
      <c r="H67" s="384">
        <f t="shared" si="1"/>
        <v>4.5849065238761391</v>
      </c>
      <c r="I67" s="385"/>
      <c r="J67" s="386"/>
      <c r="K67" s="387">
        <f>'App 4 - Recyclables'!F67</f>
        <v>367.22</v>
      </c>
      <c r="L67" s="388">
        <f t="shared" si="6"/>
        <v>3.5847325263568921</v>
      </c>
      <c r="M67" s="388">
        <f t="shared" si="7"/>
        <v>1.6487811642620116</v>
      </c>
      <c r="N67" s="381"/>
      <c r="O67" s="389">
        <f>'App 5 - Organics'!F67</f>
        <v>0</v>
      </c>
      <c r="P67" s="390"/>
      <c r="Q67" s="391"/>
      <c r="R67" s="392">
        <f>'App 5 - Organics'!J67</f>
        <v>0</v>
      </c>
      <c r="S67" s="393"/>
      <c r="T67" s="394"/>
      <c r="V67" s="395">
        <f>'App 1 - Services'!G67</f>
        <v>4042</v>
      </c>
      <c r="W67" s="396">
        <f>'App 1 - Services'!M67</f>
        <v>1970</v>
      </c>
      <c r="X67" s="397">
        <f>'App 1 - Services'!N67</f>
        <v>1970</v>
      </c>
      <c r="Y67" s="398">
        <f>'App 1 - Services'!O67</f>
        <v>0</v>
      </c>
      <c r="Z67" s="392">
        <f>'App 1 - Services'!P67</f>
        <v>0</v>
      </c>
      <c r="AA67" s="2">
        <v>1</v>
      </c>
      <c r="AB67" s="399">
        <f>'App 1 - Services'!F67</f>
        <v>8788</v>
      </c>
      <c r="AC67" s="396">
        <f t="shared" si="10"/>
        <v>4283.1172686788714</v>
      </c>
      <c r="AD67" s="397">
        <f t="shared" si="11"/>
        <v>4283.1172686788714</v>
      </c>
      <c r="AE67" s="398">
        <f t="shared" si="12"/>
        <v>0</v>
      </c>
      <c r="AF67" s="392">
        <f t="shared" si="13"/>
        <v>0</v>
      </c>
      <c r="AG67" s="400"/>
      <c r="AH67" s="401">
        <f t="shared" si="3"/>
        <v>0</v>
      </c>
      <c r="AI67" s="401">
        <f t="shared" si="4"/>
        <v>0</v>
      </c>
      <c r="AJ67" s="401">
        <f t="shared" si="5"/>
        <v>0</v>
      </c>
      <c r="AK67" s="393"/>
      <c r="AL67" s="394"/>
    </row>
    <row r="68" spans="1:38" x14ac:dyDescent="0.2">
      <c r="A68" s="8">
        <v>14600</v>
      </c>
      <c r="B68" s="8" t="s">
        <v>129</v>
      </c>
      <c r="C68" s="8" t="s">
        <v>42</v>
      </c>
      <c r="D68" s="29" t="s">
        <v>1</v>
      </c>
      <c r="E68" s="381"/>
      <c r="F68" s="382">
        <f>'App 6 - Residual Waste'!F68</f>
        <v>1095</v>
      </c>
      <c r="G68" s="383">
        <f t="shared" si="0"/>
        <v>10.20237030411449</v>
      </c>
      <c r="H68" s="384">
        <f t="shared" si="1"/>
        <v>7.1378054681438208</v>
      </c>
      <c r="I68" s="385"/>
      <c r="J68" s="386"/>
      <c r="K68" s="387">
        <f>'App 4 - Recyclables'!F68</f>
        <v>183</v>
      </c>
      <c r="L68" s="388">
        <f t="shared" si="6"/>
        <v>1.7108559889308554</v>
      </c>
      <c r="M68" s="388">
        <f t="shared" si="7"/>
        <v>1.1969529500485208</v>
      </c>
      <c r="N68" s="381"/>
      <c r="O68" s="389">
        <f>'App 5 - Organics'!F68</f>
        <v>121</v>
      </c>
      <c r="P68" s="390">
        <f t="shared" si="14"/>
        <v>1.7996311499791777</v>
      </c>
      <c r="Q68" s="391">
        <f t="shared" si="15"/>
        <v>1.2590620297111672</v>
      </c>
      <c r="R68" s="392">
        <f>'App 5 - Organics'!J68</f>
        <v>0</v>
      </c>
      <c r="S68" s="393"/>
      <c r="T68" s="394"/>
      <c r="V68" s="395">
        <f>'App 1 - Services'!G68</f>
        <v>4260</v>
      </c>
      <c r="W68" s="396">
        <f>'App 1 - Services'!M68</f>
        <v>2064</v>
      </c>
      <c r="X68" s="397">
        <f>'App 1 - Services'!N68</f>
        <v>2057</v>
      </c>
      <c r="Y68" s="398">
        <f>'App 1 - Services'!O68</f>
        <v>1293</v>
      </c>
      <c r="Z68" s="392">
        <f>'App 1 - Services'!P68</f>
        <v>0</v>
      </c>
      <c r="AB68" s="399">
        <f>'App 1 - Services'!F68</f>
        <v>6089</v>
      </c>
      <c r="AC68" s="396">
        <f t="shared" si="10"/>
        <v>2950.1633802816905</v>
      </c>
      <c r="AD68" s="397">
        <f t="shared" si="11"/>
        <v>2940.1579812206573</v>
      </c>
      <c r="AE68" s="398">
        <f t="shared" si="12"/>
        <v>1848.1401408450704</v>
      </c>
      <c r="AF68" s="392">
        <f t="shared" si="13"/>
        <v>0</v>
      </c>
      <c r="AG68" s="400"/>
      <c r="AH68" s="401">
        <f t="shared" si="3"/>
        <v>1293</v>
      </c>
      <c r="AI68" s="401">
        <f t="shared" si="4"/>
        <v>1848.1401408450704</v>
      </c>
      <c r="AJ68" s="401">
        <f t="shared" si="5"/>
        <v>121</v>
      </c>
      <c r="AK68" s="393">
        <f>(AJ68*1000)/AE68/52</f>
        <v>1.2590620297111672</v>
      </c>
      <c r="AL68" s="394"/>
    </row>
    <row r="69" spans="1:38" x14ac:dyDescent="0.2">
      <c r="A69" s="8">
        <v>14650</v>
      </c>
      <c r="B69" s="8" t="s">
        <v>130</v>
      </c>
      <c r="C69" s="8" t="s">
        <v>25</v>
      </c>
      <c r="D69" s="29" t="s">
        <v>2</v>
      </c>
      <c r="E69" s="381"/>
      <c r="F69" s="382">
        <f>'App 6 - Residual Waste'!F69</f>
        <v>36545</v>
      </c>
      <c r="G69" s="383">
        <f t="shared" ref="G69:G132" si="22">(F69*1000)/W69/52</f>
        <v>8.2763759234347472</v>
      </c>
      <c r="H69" s="384">
        <f t="shared" ref="H69:H132" si="23">(F69*1000)/AC69/52</f>
        <v>3.4700829674889566</v>
      </c>
      <c r="I69" s="385"/>
      <c r="J69" s="386"/>
      <c r="K69" s="387">
        <f>'App 4 - Recyclables'!F69</f>
        <v>17511</v>
      </c>
      <c r="L69" s="388">
        <f t="shared" si="6"/>
        <v>4.0543469100278111</v>
      </c>
      <c r="M69" s="388">
        <f t="shared" si="7"/>
        <v>1.6998889715657457</v>
      </c>
      <c r="N69" s="381"/>
      <c r="O69" s="389">
        <f>'App 5 - Organics'!F69</f>
        <v>0</v>
      </c>
      <c r="P69" s="390"/>
      <c r="Q69" s="391"/>
      <c r="R69" s="392">
        <f>'App 5 - Organics'!J69</f>
        <v>40854</v>
      </c>
      <c r="S69" s="393">
        <f t="shared" si="8"/>
        <v>9.2712364281026431</v>
      </c>
      <c r="T69" s="394">
        <f t="shared" si="9"/>
        <v>3.887203760963359</v>
      </c>
      <c r="V69" s="395">
        <f>'App 1 - Services'!G69</f>
        <v>87115</v>
      </c>
      <c r="W69" s="396">
        <f>'App 1 - Services'!M69</f>
        <v>84915</v>
      </c>
      <c r="X69" s="397">
        <f>'App 1 - Services'!N69</f>
        <v>83059</v>
      </c>
      <c r="Y69" s="398">
        <f>'App 1 - Services'!O69</f>
        <v>0</v>
      </c>
      <c r="Z69" s="392">
        <f>'App 1 - Services'!P69</f>
        <v>84741</v>
      </c>
      <c r="AB69" s="399">
        <f>'App 1 - Services'!F69</f>
        <v>207775</v>
      </c>
      <c r="AC69" s="396">
        <f t="shared" si="10"/>
        <v>202527.85542099524</v>
      </c>
      <c r="AD69" s="397">
        <f t="shared" si="11"/>
        <v>198101.1734488894</v>
      </c>
      <c r="AE69" s="398">
        <f t="shared" si="12"/>
        <v>0</v>
      </c>
      <c r="AF69" s="392">
        <f t="shared" si="13"/>
        <v>202112.85398611031</v>
      </c>
      <c r="AG69" s="400" t="s">
        <v>724</v>
      </c>
      <c r="AH69" s="401">
        <f t="shared" ref="AH69:AH132" si="24">Y69+Z69</f>
        <v>84741</v>
      </c>
      <c r="AI69" s="401">
        <f t="shared" ref="AI69:AI132" si="25">AE69+AF69</f>
        <v>202112.85398611031</v>
      </c>
      <c r="AJ69" s="401">
        <f t="shared" ref="AJ69:AJ132" si="26">O69+R69</f>
        <v>40854</v>
      </c>
      <c r="AK69" s="393"/>
      <c r="AL69" s="394">
        <f>(AJ69*1000)/AF69/52</f>
        <v>3.887203760963359</v>
      </c>
    </row>
    <row r="70" spans="1:38" x14ac:dyDescent="0.2">
      <c r="A70" s="8">
        <v>14700</v>
      </c>
      <c r="B70" s="8" t="s">
        <v>59</v>
      </c>
      <c r="C70" s="8" t="s">
        <v>26</v>
      </c>
      <c r="D70" s="29" t="s">
        <v>3</v>
      </c>
      <c r="E70" s="381"/>
      <c r="F70" s="382">
        <f>'App 6 - Residual Waste'!F70</f>
        <v>7205</v>
      </c>
      <c r="G70" s="383">
        <f t="shared" si="22"/>
        <v>7.6416110913132753</v>
      </c>
      <c r="H70" s="384">
        <f t="shared" si="23"/>
        <v>3.4296193065863503</v>
      </c>
      <c r="I70" s="385"/>
      <c r="J70" s="386"/>
      <c r="K70" s="387">
        <f>'App 4 - Recyclables'!F70</f>
        <v>2983</v>
      </c>
      <c r="L70" s="388">
        <f t="shared" ref="L70:L132" si="27">(K70*1000)/X70/52</f>
        <v>3.1990511161825017</v>
      </c>
      <c r="M70" s="388">
        <f t="shared" ref="M70:M132" si="28">(K70*1000)/AD70/52</f>
        <v>1.4357610377853669</v>
      </c>
      <c r="N70" s="381"/>
      <c r="O70" s="389">
        <f>'App 5 - Organics'!F70</f>
        <v>3293</v>
      </c>
      <c r="P70" s="390">
        <f t="shared" ref="P70:P130" si="29">(O70*1000)/Y70/52</f>
        <v>8.7917427567573334</v>
      </c>
      <c r="Q70" s="391">
        <f t="shared" ref="Q70:Q130" si="30">(O70*1000)/AE70/52</f>
        <v>3.945808068064574</v>
      </c>
      <c r="R70" s="392">
        <f>'App 5 - Organics'!J70</f>
        <v>0</v>
      </c>
      <c r="S70" s="393"/>
      <c r="T70" s="394"/>
      <c r="V70" s="395">
        <f>'App 1 - Services'!G70</f>
        <v>18192</v>
      </c>
      <c r="W70" s="396">
        <f>'App 1 - Services'!M70</f>
        <v>18132</v>
      </c>
      <c r="X70" s="397">
        <f>'App 1 - Services'!N70</f>
        <v>17932</v>
      </c>
      <c r="Y70" s="398">
        <f>'App 1 - Services'!O70</f>
        <v>7203</v>
      </c>
      <c r="Z70" s="392">
        <f>'App 1 - Services'!P70</f>
        <v>0</v>
      </c>
      <c r="AB70" s="399">
        <f>'App 1 - Services'!F70</f>
        <v>40534</v>
      </c>
      <c r="AC70" s="396">
        <f t="shared" ref="AC70:AC132" si="31">(W70/$V70)*$AB70</f>
        <v>40400.312664907651</v>
      </c>
      <c r="AD70" s="397">
        <f t="shared" ref="AD70:AD132" si="32">(X70/$V70)*$AB70</f>
        <v>39954.688214599824</v>
      </c>
      <c r="AE70" s="398">
        <f t="shared" ref="AE70:AE132" si="33">(Y70/$V70)*$AB70</f>
        <v>16049.164577836411</v>
      </c>
      <c r="AF70" s="392">
        <f t="shared" ref="AF70:AF132" si="34">(Z70/$V70)*$AB70</f>
        <v>0</v>
      </c>
      <c r="AG70" s="400"/>
      <c r="AH70" s="401">
        <f t="shared" si="24"/>
        <v>7203</v>
      </c>
      <c r="AI70" s="401">
        <f t="shared" si="25"/>
        <v>16049.164577836411</v>
      </c>
      <c r="AJ70" s="401">
        <f t="shared" si="26"/>
        <v>3293</v>
      </c>
      <c r="AK70" s="393">
        <f>(AJ70*1000)/AE70/52</f>
        <v>3.945808068064574</v>
      </c>
      <c r="AL70" s="394"/>
    </row>
    <row r="71" spans="1:38" x14ac:dyDescent="0.2">
      <c r="A71" s="8">
        <v>14750</v>
      </c>
      <c r="B71" s="8" t="s">
        <v>131</v>
      </c>
      <c r="C71" s="8" t="s">
        <v>75</v>
      </c>
      <c r="D71" s="29" t="s">
        <v>1</v>
      </c>
      <c r="E71" s="381"/>
      <c r="F71" s="382">
        <f>'App 6 - Residual Waste'!F71</f>
        <v>2960.96</v>
      </c>
      <c r="G71" s="383">
        <f t="shared" si="22"/>
        <v>13.911932191922419</v>
      </c>
      <c r="H71" s="384">
        <f t="shared" si="23"/>
        <v>5.1144104064459572</v>
      </c>
      <c r="I71" s="385"/>
      <c r="J71" s="386"/>
      <c r="K71" s="387">
        <f>'App 4 - Recyclables'!F71</f>
        <v>519.55999999999995</v>
      </c>
      <c r="L71" s="388">
        <f t="shared" si="27"/>
        <v>2.4891725115940355</v>
      </c>
      <c r="M71" s="388">
        <f t="shared" si="28"/>
        <v>0.9150885456534541</v>
      </c>
      <c r="N71" s="381"/>
      <c r="O71" s="389">
        <f>'App 5 - Organics'!F71</f>
        <v>0</v>
      </c>
      <c r="P71" s="390"/>
      <c r="Q71" s="391"/>
      <c r="R71" s="392">
        <f>'App 5 - Organics'!J71</f>
        <v>0</v>
      </c>
      <c r="S71" s="393"/>
      <c r="T71" s="394"/>
      <c r="V71" s="395">
        <f>'App 1 - Services'!G71</f>
        <v>4170</v>
      </c>
      <c r="W71" s="396">
        <f>'App 1 - Services'!M71</f>
        <v>4093</v>
      </c>
      <c r="X71" s="397">
        <f>'App 1 - Services'!N71</f>
        <v>4014</v>
      </c>
      <c r="Y71" s="398">
        <f>'App 1 - Services'!O71</f>
        <v>0</v>
      </c>
      <c r="Z71" s="392">
        <f>'App 1 - Services'!P71</f>
        <v>0</v>
      </c>
      <c r="AA71" s="2">
        <v>1</v>
      </c>
      <c r="AB71" s="399">
        <f>'App 1 - Services'!F71</f>
        <v>11343</v>
      </c>
      <c r="AC71" s="396">
        <f t="shared" si="31"/>
        <v>11133.548920863308</v>
      </c>
      <c r="AD71" s="397">
        <f t="shared" si="32"/>
        <v>10918.657553956835</v>
      </c>
      <c r="AE71" s="398">
        <f t="shared" si="33"/>
        <v>0</v>
      </c>
      <c r="AF71" s="392">
        <f t="shared" si="34"/>
        <v>0</v>
      </c>
      <c r="AG71" s="400"/>
      <c r="AH71" s="401">
        <f t="shared" si="24"/>
        <v>0</v>
      </c>
      <c r="AI71" s="401">
        <f t="shared" si="25"/>
        <v>0</v>
      </c>
      <c r="AJ71" s="401">
        <f t="shared" si="26"/>
        <v>0</v>
      </c>
      <c r="AK71" s="393"/>
      <c r="AL71" s="394"/>
    </row>
    <row r="72" spans="1:38" x14ac:dyDescent="0.2">
      <c r="A72" s="8">
        <v>14850</v>
      </c>
      <c r="B72" s="8" t="s">
        <v>132</v>
      </c>
      <c r="C72" s="8" t="s">
        <v>20</v>
      </c>
      <c r="D72" s="29" t="s">
        <v>4</v>
      </c>
      <c r="E72" s="381"/>
      <c r="F72" s="382">
        <f>'App 6 - Residual Waste'!F72</f>
        <v>6129</v>
      </c>
      <c r="G72" s="383">
        <f t="shared" si="22"/>
        <v>7.8729132733541256</v>
      </c>
      <c r="H72" s="384">
        <f t="shared" si="23"/>
        <v>3.3633910530703095</v>
      </c>
      <c r="I72" s="385"/>
      <c r="J72" s="386"/>
      <c r="K72" s="387">
        <f>'App 4 - Recyclables'!F72</f>
        <v>3103</v>
      </c>
      <c r="L72" s="388">
        <f t="shared" si="27"/>
        <v>3.9859112232367191</v>
      </c>
      <c r="M72" s="388">
        <f t="shared" si="28"/>
        <v>1.7028230441633498</v>
      </c>
      <c r="N72" s="381"/>
      <c r="O72" s="389">
        <f>'App 5 - Organics'!F72</f>
        <v>0</v>
      </c>
      <c r="P72" s="390"/>
      <c r="Q72" s="391"/>
      <c r="R72" s="392">
        <f>'App 5 - Organics'!J72</f>
        <v>5689</v>
      </c>
      <c r="S72" s="393">
        <f t="shared" ref="S72:S131" si="35">(R72*1000)/Z72/52</f>
        <v>8.4822333814425619</v>
      </c>
      <c r="T72" s="394">
        <f t="shared" ref="T72:T131" si="36">(R72*1000)/AF72/52</f>
        <v>3.6236989884995761</v>
      </c>
      <c r="V72" s="395">
        <f>'App 1 - Services'!G72</f>
        <v>18655</v>
      </c>
      <c r="W72" s="396">
        <f>'App 1 - Services'!M72</f>
        <v>14971</v>
      </c>
      <c r="X72" s="397">
        <f>'App 1 - Services'!N72</f>
        <v>14971</v>
      </c>
      <c r="Y72" s="398">
        <f>'App 1 - Services'!O72</f>
        <v>0</v>
      </c>
      <c r="Z72" s="392">
        <f>'App 1 - Services'!P72</f>
        <v>12898</v>
      </c>
      <c r="AB72" s="399">
        <f>'App 1 - Services'!F72</f>
        <v>43667</v>
      </c>
      <c r="AC72" s="396">
        <f t="shared" si="31"/>
        <v>35043.616027874566</v>
      </c>
      <c r="AD72" s="397">
        <f t="shared" si="32"/>
        <v>35043.616027874566</v>
      </c>
      <c r="AE72" s="398">
        <f t="shared" si="33"/>
        <v>0</v>
      </c>
      <c r="AF72" s="392">
        <f t="shared" si="34"/>
        <v>30191.206968641112</v>
      </c>
      <c r="AG72" s="400" t="s">
        <v>14</v>
      </c>
      <c r="AH72" s="401">
        <f t="shared" si="24"/>
        <v>12898</v>
      </c>
      <c r="AI72" s="401">
        <f t="shared" si="25"/>
        <v>30191.206968641112</v>
      </c>
      <c r="AJ72" s="401">
        <f t="shared" si="26"/>
        <v>5689</v>
      </c>
      <c r="AK72" s="393"/>
      <c r="AL72" s="394">
        <f>(AJ72*1000)/AF72/52</f>
        <v>3.6236989884995761</v>
      </c>
    </row>
    <row r="73" spans="1:38" x14ac:dyDescent="0.2">
      <c r="A73" s="8">
        <v>14870</v>
      </c>
      <c r="B73" s="8" t="s">
        <v>133</v>
      </c>
      <c r="C73" s="8" t="s">
        <v>42</v>
      </c>
      <c r="D73" s="29" t="s">
        <v>1</v>
      </c>
      <c r="E73" s="381"/>
      <c r="F73" s="382">
        <f>'App 6 - Residual Waste'!F73</f>
        <v>5909</v>
      </c>
      <c r="G73" s="383">
        <f t="shared" si="22"/>
        <v>12.920365592338303</v>
      </c>
      <c r="H73" s="384">
        <f t="shared" si="23"/>
        <v>6.9465880819933776</v>
      </c>
      <c r="I73" s="385"/>
      <c r="J73" s="386"/>
      <c r="K73" s="387">
        <f>'App 4 - Recyclables'!F73</f>
        <v>1157</v>
      </c>
      <c r="L73" s="388">
        <f t="shared" si="27"/>
        <v>2.5399543378995437</v>
      </c>
      <c r="M73" s="388">
        <f t="shared" si="28"/>
        <v>1.3655973127357277</v>
      </c>
      <c r="N73" s="381"/>
      <c r="O73" s="389">
        <f>'App 5 - Organics'!F73</f>
        <v>0</v>
      </c>
      <c r="P73" s="390"/>
      <c r="Q73" s="391"/>
      <c r="R73" s="392">
        <f>'App 5 - Organics'!J73</f>
        <v>0</v>
      </c>
      <c r="S73" s="393"/>
      <c r="T73" s="394"/>
      <c r="V73" s="395">
        <f>'App 1 - Services'!G73</f>
        <v>11568</v>
      </c>
      <c r="W73" s="396">
        <f>'App 1 - Services'!M73</f>
        <v>8795</v>
      </c>
      <c r="X73" s="397">
        <f>'App 1 - Services'!N73</f>
        <v>8760</v>
      </c>
      <c r="Y73" s="398">
        <f>'App 1 - Services'!O73</f>
        <v>0</v>
      </c>
      <c r="Z73" s="392">
        <f>'App 1 - Services'!P73</f>
        <v>0</v>
      </c>
      <c r="AA73" s="2">
        <v>1</v>
      </c>
      <c r="AB73" s="399">
        <f>'App 1 - Services'!F73</f>
        <v>21516</v>
      </c>
      <c r="AC73" s="396">
        <f t="shared" si="31"/>
        <v>16358.335062240663</v>
      </c>
      <c r="AD73" s="397">
        <f t="shared" si="32"/>
        <v>16293.236514522821</v>
      </c>
      <c r="AE73" s="398">
        <f t="shared" si="33"/>
        <v>0</v>
      </c>
      <c r="AF73" s="392">
        <f t="shared" si="34"/>
        <v>0</v>
      </c>
      <c r="AG73" s="400"/>
      <c r="AH73" s="401">
        <f t="shared" si="24"/>
        <v>0</v>
      </c>
      <c r="AI73" s="401">
        <f t="shared" si="25"/>
        <v>0</v>
      </c>
      <c r="AJ73" s="401">
        <f t="shared" si="26"/>
        <v>0</v>
      </c>
      <c r="AK73" s="393"/>
      <c r="AL73" s="394"/>
    </row>
    <row r="74" spans="1:38" x14ac:dyDescent="0.2">
      <c r="A74" s="8">
        <v>14900</v>
      </c>
      <c r="B74" s="8" t="s">
        <v>60</v>
      </c>
      <c r="C74" s="8" t="s">
        <v>19</v>
      </c>
      <c r="D74" s="29" t="s">
        <v>3</v>
      </c>
      <c r="E74" s="381"/>
      <c r="F74" s="382">
        <f>'App 6 - Residual Waste'!F74</f>
        <v>54879.55</v>
      </c>
      <c r="G74" s="383">
        <f t="shared" si="22"/>
        <v>15.938864311753731</v>
      </c>
      <c r="H74" s="384">
        <f t="shared" si="23"/>
        <v>5.2162954523316891</v>
      </c>
      <c r="I74" s="385"/>
      <c r="J74" s="386"/>
      <c r="K74" s="387">
        <f>'App 4 - Recyclables'!F74</f>
        <v>14502.14</v>
      </c>
      <c r="L74" s="388">
        <f t="shared" si="27"/>
        <v>4.2119084739225494</v>
      </c>
      <c r="M74" s="388">
        <f t="shared" si="28"/>
        <v>1.3784268808887368</v>
      </c>
      <c r="N74" s="381"/>
      <c r="O74" s="389">
        <f>'App 5 - Organics'!F74</f>
        <v>19735.2</v>
      </c>
      <c r="P74" s="390">
        <f t="shared" si="29"/>
        <v>6.9555581871394496</v>
      </c>
      <c r="Q74" s="391">
        <f t="shared" si="30"/>
        <v>2.27633825286087</v>
      </c>
      <c r="R74" s="392">
        <f>'App 5 - Organics'!J74</f>
        <v>0</v>
      </c>
      <c r="S74" s="393"/>
      <c r="T74" s="394"/>
      <c r="V74" s="395">
        <f>'App 1 - Services'!G74</f>
        <v>75696</v>
      </c>
      <c r="W74" s="396">
        <f>'App 1 - Services'!M74</f>
        <v>66214</v>
      </c>
      <c r="X74" s="397">
        <f>'App 1 - Services'!N74</f>
        <v>66214</v>
      </c>
      <c r="Y74" s="398">
        <f>'App 1 - Services'!O74</f>
        <v>54564</v>
      </c>
      <c r="Z74" s="392">
        <f>'App 1 - Services'!P74</f>
        <v>0</v>
      </c>
      <c r="AB74" s="399">
        <f>'App 1 - Services'!F74</f>
        <v>231296</v>
      </c>
      <c r="AC74" s="396">
        <f t="shared" si="31"/>
        <v>202322.88818431622</v>
      </c>
      <c r="AD74" s="397">
        <f t="shared" si="32"/>
        <v>202322.88818431622</v>
      </c>
      <c r="AE74" s="398">
        <f t="shared" si="33"/>
        <v>166725.25554850983</v>
      </c>
      <c r="AF74" s="392">
        <f t="shared" si="34"/>
        <v>0</v>
      </c>
      <c r="AG74" s="400"/>
      <c r="AH74" s="401">
        <f t="shared" si="24"/>
        <v>54564</v>
      </c>
      <c r="AI74" s="401">
        <f t="shared" si="25"/>
        <v>166725.25554850983</v>
      </c>
      <c r="AJ74" s="401">
        <f t="shared" si="26"/>
        <v>19735.2</v>
      </c>
      <c r="AK74" s="393">
        <f>(AJ74*1000)/AE74/52</f>
        <v>2.27633825286087</v>
      </c>
      <c r="AL74" s="394"/>
    </row>
    <row r="75" spans="1:38" x14ac:dyDescent="0.2">
      <c r="A75" s="8">
        <v>14920</v>
      </c>
      <c r="B75" s="8" t="s">
        <v>134</v>
      </c>
      <c r="C75" s="8" t="s">
        <v>17</v>
      </c>
      <c r="D75" s="29" t="s">
        <v>1</v>
      </c>
      <c r="E75" s="381"/>
      <c r="F75" s="382">
        <f>'App 6 - Residual Waste'!F75</f>
        <v>1595</v>
      </c>
      <c r="G75" s="383">
        <f t="shared" si="22"/>
        <v>11.907250358337315</v>
      </c>
      <c r="H75" s="384">
        <f t="shared" si="23"/>
        <v>4.2834562921562345</v>
      </c>
      <c r="I75" s="385"/>
      <c r="J75" s="386"/>
      <c r="K75" s="387">
        <f>'App 4 - Recyclables'!F75</f>
        <v>408</v>
      </c>
      <c r="L75" s="388">
        <f t="shared" si="27"/>
        <v>3.0697002527988442</v>
      </c>
      <c r="M75" s="388">
        <f t="shared" si="28"/>
        <v>1.1042790289261093</v>
      </c>
      <c r="N75" s="381"/>
      <c r="O75" s="389">
        <f>'App 5 - Organics'!F75</f>
        <v>0</v>
      </c>
      <c r="P75" s="390"/>
      <c r="Q75" s="391"/>
      <c r="R75" s="392">
        <f>'App 5 - Organics'!J75</f>
        <v>0</v>
      </c>
      <c r="S75" s="393"/>
      <c r="T75" s="394"/>
      <c r="V75" s="395">
        <f>'App 1 - Services'!G75</f>
        <v>2825</v>
      </c>
      <c r="W75" s="396">
        <f>'App 1 - Services'!M75</f>
        <v>2576</v>
      </c>
      <c r="X75" s="397">
        <f>'App 1 - Services'!N75</f>
        <v>2556</v>
      </c>
      <c r="Y75" s="398">
        <f>'App 1 - Services'!O75</f>
        <v>0</v>
      </c>
      <c r="Z75" s="392">
        <f>'App 1 - Services'!P75</f>
        <v>0</v>
      </c>
      <c r="AA75" s="2">
        <v>1</v>
      </c>
      <c r="AB75" s="399">
        <f>'App 1 - Services'!F75</f>
        <v>7853</v>
      </c>
      <c r="AC75" s="396">
        <f t="shared" si="31"/>
        <v>7160.8240707964605</v>
      </c>
      <c r="AD75" s="397">
        <f t="shared" si="32"/>
        <v>7105.2276106194686</v>
      </c>
      <c r="AE75" s="398">
        <f t="shared" si="33"/>
        <v>0</v>
      </c>
      <c r="AF75" s="392">
        <f t="shared" si="34"/>
        <v>0</v>
      </c>
      <c r="AG75" s="400"/>
      <c r="AH75" s="401">
        <f t="shared" si="24"/>
        <v>0</v>
      </c>
      <c r="AI75" s="401">
        <f t="shared" si="25"/>
        <v>0</v>
      </c>
      <c r="AJ75" s="401">
        <f t="shared" si="26"/>
        <v>0</v>
      </c>
      <c r="AK75" s="393"/>
      <c r="AL75" s="394"/>
    </row>
    <row r="76" spans="1:38" x14ac:dyDescent="0.2">
      <c r="A76" s="8">
        <v>14950</v>
      </c>
      <c r="B76" s="8" t="s">
        <v>135</v>
      </c>
      <c r="C76" s="8" t="s">
        <v>22</v>
      </c>
      <c r="D76" s="29" t="s">
        <v>1</v>
      </c>
      <c r="E76" s="402"/>
      <c r="F76" s="382">
        <f>'App 6 - Residual Waste'!F76</f>
        <v>953.73</v>
      </c>
      <c r="G76" s="383">
        <f t="shared" si="22"/>
        <v>6.942074768531997</v>
      </c>
      <c r="H76" s="384">
        <f t="shared" si="23"/>
        <v>5.6277881369934146</v>
      </c>
      <c r="I76" s="385"/>
      <c r="J76" s="386"/>
      <c r="K76" s="387">
        <f>'App 4 - Recyclables'!F76</f>
        <v>145.5</v>
      </c>
      <c r="L76" s="388">
        <f t="shared" si="27"/>
        <v>1.0590752926104932</v>
      </c>
      <c r="M76" s="388">
        <f t="shared" si="28"/>
        <v>0.85856916940071293</v>
      </c>
      <c r="N76" s="381"/>
      <c r="O76" s="389">
        <f>'App 5 - Organics'!F76</f>
        <v>0</v>
      </c>
      <c r="P76" s="390"/>
      <c r="Q76" s="391"/>
      <c r="R76" s="392">
        <f>'App 5 - Organics'!J76</f>
        <v>710.66</v>
      </c>
      <c r="S76" s="393">
        <f t="shared" si="35"/>
        <v>5.1728003260932862</v>
      </c>
      <c r="T76" s="394">
        <f t="shared" si="36"/>
        <v>4.1934760544763616</v>
      </c>
      <c r="V76" s="395">
        <f>'App 1 - Services'!G76</f>
        <v>2642</v>
      </c>
      <c r="W76" s="396">
        <f>'App 1 - Services'!M76</f>
        <v>2642</v>
      </c>
      <c r="X76" s="397">
        <f>'App 1 - Services'!N76</f>
        <v>2642</v>
      </c>
      <c r="Y76" s="398">
        <f>'App 1 - Services'!O76</f>
        <v>0</v>
      </c>
      <c r="Z76" s="392">
        <f>'App 1 - Services'!P76</f>
        <v>2642</v>
      </c>
      <c r="AB76" s="399">
        <f>'App 1 - Services'!F76</f>
        <v>3259</v>
      </c>
      <c r="AC76" s="396">
        <f t="shared" si="31"/>
        <v>3259</v>
      </c>
      <c r="AD76" s="397">
        <f t="shared" si="32"/>
        <v>3259</v>
      </c>
      <c r="AE76" s="398">
        <f t="shared" si="33"/>
        <v>0</v>
      </c>
      <c r="AF76" s="392">
        <f t="shared" si="34"/>
        <v>3259</v>
      </c>
      <c r="AG76" s="400"/>
      <c r="AH76" s="401">
        <f t="shared" si="24"/>
        <v>2642</v>
      </c>
      <c r="AI76" s="401">
        <f t="shared" si="25"/>
        <v>3259</v>
      </c>
      <c r="AJ76" s="401">
        <f t="shared" si="26"/>
        <v>710.66</v>
      </c>
      <c r="AK76" s="393"/>
      <c r="AL76" s="394"/>
    </row>
    <row r="77" spans="1:38" x14ac:dyDescent="0.2">
      <c r="A77" s="8">
        <v>15050</v>
      </c>
      <c r="B77" s="8" t="s">
        <v>136</v>
      </c>
      <c r="C77" s="8" t="s">
        <v>25</v>
      </c>
      <c r="D77" s="29" t="s">
        <v>2</v>
      </c>
      <c r="E77" s="381"/>
      <c r="F77" s="382">
        <f>'App 6 - Residual Waste'!F77</f>
        <v>24656</v>
      </c>
      <c r="G77" s="383">
        <f t="shared" si="22"/>
        <v>14.409343163977578</v>
      </c>
      <c r="H77" s="384">
        <f t="shared" si="23"/>
        <v>5.9042116677388528</v>
      </c>
      <c r="I77" s="385"/>
      <c r="J77" s="386"/>
      <c r="K77" s="387">
        <f>'App 4 - Recyclables'!F77</f>
        <v>5450</v>
      </c>
      <c r="L77" s="388">
        <f t="shared" si="27"/>
        <v>3.1850632804866073</v>
      </c>
      <c r="M77" s="388">
        <f t="shared" si="28"/>
        <v>1.3050759891781614</v>
      </c>
      <c r="N77" s="381"/>
      <c r="O77" s="389">
        <f>'App 5 - Organics'!F77</f>
        <v>10997</v>
      </c>
      <c r="P77" s="390">
        <f t="shared" si="29"/>
        <v>6.4268148432130676</v>
      </c>
      <c r="Q77" s="391">
        <f t="shared" si="30"/>
        <v>2.633379936328851</v>
      </c>
      <c r="R77" s="392">
        <f>'App 5 - Organics'!J77</f>
        <v>0</v>
      </c>
      <c r="S77" s="393"/>
      <c r="T77" s="394"/>
      <c r="V77" s="395">
        <f>'App 1 - Services'!G77</f>
        <v>35810</v>
      </c>
      <c r="W77" s="396">
        <f>'App 1 - Services'!M77</f>
        <v>32906</v>
      </c>
      <c r="X77" s="397">
        <f>'App 1 - Services'!N77</f>
        <v>32906</v>
      </c>
      <c r="Y77" s="398">
        <f>'App 1 - Services'!O77</f>
        <v>32906</v>
      </c>
      <c r="Z77" s="392">
        <f>'App 1 - Services'!P77</f>
        <v>0</v>
      </c>
      <c r="AB77" s="399">
        <f>'App 1 - Services'!F77</f>
        <v>87395</v>
      </c>
      <c r="AC77" s="396">
        <f t="shared" si="31"/>
        <v>80307.731639206933</v>
      </c>
      <c r="AD77" s="397">
        <f t="shared" si="32"/>
        <v>80307.731639206933</v>
      </c>
      <c r="AE77" s="398">
        <f t="shared" si="33"/>
        <v>80307.731639206933</v>
      </c>
      <c r="AF77" s="392">
        <f t="shared" si="34"/>
        <v>0</v>
      </c>
      <c r="AG77" s="400"/>
      <c r="AH77" s="401">
        <f t="shared" si="24"/>
        <v>32906</v>
      </c>
      <c r="AI77" s="401">
        <f t="shared" si="25"/>
        <v>80307.731639206933</v>
      </c>
      <c r="AJ77" s="401">
        <f t="shared" si="26"/>
        <v>10997</v>
      </c>
      <c r="AK77" s="393">
        <f>(AJ77*1000)/AE77/52</f>
        <v>2.633379936328851</v>
      </c>
      <c r="AL77" s="394"/>
    </row>
    <row r="78" spans="1:38" x14ac:dyDescent="0.2">
      <c r="A78" s="8">
        <v>15240</v>
      </c>
      <c r="B78" s="8" t="s">
        <v>137</v>
      </c>
      <c r="C78" s="8" t="s">
        <v>43</v>
      </c>
      <c r="D78" s="29" t="s">
        <v>4</v>
      </c>
      <c r="E78" s="381"/>
      <c r="F78" s="382">
        <f>'App 6 - Residual Waste'!F78</f>
        <v>22608.92</v>
      </c>
      <c r="G78" s="383">
        <f t="shared" si="22"/>
        <v>9.5519777467578333</v>
      </c>
      <c r="H78" s="384">
        <f t="shared" si="23"/>
        <v>4.7965813567886872</v>
      </c>
      <c r="I78" s="385"/>
      <c r="J78" s="386"/>
      <c r="K78" s="387">
        <f>'App 4 - Recyclables'!F78</f>
        <v>8726.15</v>
      </c>
      <c r="L78" s="388">
        <f t="shared" si="27"/>
        <v>3.7173111428809986</v>
      </c>
      <c r="M78" s="388">
        <f t="shared" si="28"/>
        <v>1.8666694791429863</v>
      </c>
      <c r="N78" s="381"/>
      <c r="O78" s="389">
        <f>'App 5 - Organics'!F78</f>
        <v>11554.78</v>
      </c>
      <c r="P78" s="390">
        <f t="shared" si="29"/>
        <v>5.8507940623056873</v>
      </c>
      <c r="Q78" s="391">
        <f t="shared" si="30"/>
        <v>2.9380103749918098</v>
      </c>
      <c r="R78" s="392">
        <f>'App 5 - Organics'!J78</f>
        <v>0</v>
      </c>
      <c r="S78" s="393"/>
      <c r="T78" s="394"/>
      <c r="V78" s="395">
        <f>'App 1 - Services'!G78</f>
        <v>47401</v>
      </c>
      <c r="W78" s="396">
        <f>'App 1 - Services'!M78</f>
        <v>45518</v>
      </c>
      <c r="X78" s="397">
        <f>'App 1 - Services'!N78</f>
        <v>45143</v>
      </c>
      <c r="Y78" s="398">
        <f>'App 1 - Services'!O78</f>
        <v>37979</v>
      </c>
      <c r="Z78" s="392">
        <f>'App 1 - Services'!P78</f>
        <v>0</v>
      </c>
      <c r="AB78" s="399">
        <f>'App 1 - Services'!F78</f>
        <v>94395</v>
      </c>
      <c r="AC78" s="396">
        <f t="shared" si="31"/>
        <v>90645.168034429647</v>
      </c>
      <c r="AD78" s="397">
        <f t="shared" si="32"/>
        <v>89898.387903208801</v>
      </c>
      <c r="AE78" s="398">
        <f t="shared" si="33"/>
        <v>75631.900276365472</v>
      </c>
      <c r="AF78" s="392">
        <f t="shared" si="34"/>
        <v>0</v>
      </c>
      <c r="AG78" s="400"/>
      <c r="AH78" s="401">
        <f t="shared" si="24"/>
        <v>37979</v>
      </c>
      <c r="AI78" s="401">
        <f t="shared" si="25"/>
        <v>75631.900276365472</v>
      </c>
      <c r="AJ78" s="401">
        <f t="shared" si="26"/>
        <v>11554.78</v>
      </c>
      <c r="AK78" s="393">
        <f>(AJ78*1000)/AE78/52</f>
        <v>2.9380103749918098</v>
      </c>
      <c r="AL78" s="394"/>
    </row>
    <row r="79" spans="1:38" x14ac:dyDescent="0.2">
      <c r="A79" s="8">
        <v>15270</v>
      </c>
      <c r="B79" s="8" t="s">
        <v>138</v>
      </c>
      <c r="C79" s="8" t="s">
        <v>42</v>
      </c>
      <c r="D79" s="29" t="s">
        <v>1</v>
      </c>
      <c r="E79" s="381"/>
      <c r="F79" s="382">
        <f>'App 6 - Residual Waste'!F79</f>
        <v>4022.04</v>
      </c>
      <c r="G79" s="383">
        <f t="shared" si="22"/>
        <v>9.6107011775500837</v>
      </c>
      <c r="H79" s="384">
        <f t="shared" si="23"/>
        <v>5.9080409257190833</v>
      </c>
      <c r="I79" s="385"/>
      <c r="J79" s="386"/>
      <c r="K79" s="387">
        <f>'App 4 - Recyclables'!F79</f>
        <v>2133.66</v>
      </c>
      <c r="L79" s="388">
        <f t="shared" si="27"/>
        <v>5.0983999847071422</v>
      </c>
      <c r="M79" s="388">
        <f t="shared" si="28"/>
        <v>3.1341683826042948</v>
      </c>
      <c r="N79" s="381"/>
      <c r="O79" s="389">
        <f>'App 5 - Organics'!F79</f>
        <v>0</v>
      </c>
      <c r="P79" s="390"/>
      <c r="Q79" s="391"/>
      <c r="R79" s="392">
        <f>'App 5 - Organics'!J79</f>
        <v>2592.02</v>
      </c>
      <c r="S79" s="393">
        <f t="shared" si="35"/>
        <v>6.1936553754396702</v>
      </c>
      <c r="T79" s="394">
        <f t="shared" si="36"/>
        <v>3.8074609502348009</v>
      </c>
      <c r="V79" s="395">
        <f>'App 1 - Services'!G79</f>
        <v>15594</v>
      </c>
      <c r="W79" s="396">
        <f>'App 1 - Services'!M79</f>
        <v>8048</v>
      </c>
      <c r="X79" s="397">
        <f>'App 1 - Services'!N79</f>
        <v>8048</v>
      </c>
      <c r="Y79" s="398">
        <f>'App 1 - Services'!O79</f>
        <v>0</v>
      </c>
      <c r="Z79" s="392">
        <f>'App 1 - Services'!P79</f>
        <v>8048</v>
      </c>
      <c r="AB79" s="399">
        <f>'App 1 - Services'!F79</f>
        <v>25367</v>
      </c>
      <c r="AC79" s="396">
        <f t="shared" si="31"/>
        <v>13091.805566243429</v>
      </c>
      <c r="AD79" s="397">
        <f t="shared" si="32"/>
        <v>13091.805566243429</v>
      </c>
      <c r="AE79" s="398">
        <f t="shared" si="33"/>
        <v>0</v>
      </c>
      <c r="AF79" s="392">
        <f t="shared" si="34"/>
        <v>13091.805566243429</v>
      </c>
      <c r="AG79" s="400" t="s">
        <v>724</v>
      </c>
      <c r="AH79" s="401">
        <f t="shared" si="24"/>
        <v>8048</v>
      </c>
      <c r="AI79" s="401">
        <f t="shared" si="25"/>
        <v>13091.805566243429</v>
      </c>
      <c r="AJ79" s="401">
        <f t="shared" si="26"/>
        <v>2592.02</v>
      </c>
      <c r="AK79" s="393"/>
      <c r="AL79" s="394">
        <f>(AJ79*1000)/AF79/52</f>
        <v>3.8074609502348009</v>
      </c>
    </row>
    <row r="80" spans="1:38" x14ac:dyDescent="0.2">
      <c r="A80" s="8">
        <v>15300</v>
      </c>
      <c r="B80" s="8" t="s">
        <v>139</v>
      </c>
      <c r="C80" s="8" t="s">
        <v>17</v>
      </c>
      <c r="D80" s="29" t="s">
        <v>1</v>
      </c>
      <c r="E80" s="381"/>
      <c r="F80" s="382">
        <f>'App 6 - Residual Waste'!F80</f>
        <v>2396.35</v>
      </c>
      <c r="G80" s="383">
        <f t="shared" si="22"/>
        <v>7.2469969879153711</v>
      </c>
      <c r="H80" s="384">
        <f t="shared" si="23"/>
        <v>3.5240233880977172</v>
      </c>
      <c r="I80" s="385"/>
      <c r="J80" s="386"/>
      <c r="K80" s="387">
        <f>'App 4 - Recyclables'!F80</f>
        <v>612.05999999999995</v>
      </c>
      <c r="L80" s="388">
        <f t="shared" si="27"/>
        <v>19.201279959844399</v>
      </c>
      <c r="M80" s="388">
        <f t="shared" si="28"/>
        <v>9.3370757256748877</v>
      </c>
      <c r="N80" s="381"/>
      <c r="O80" s="389">
        <f>'App 5 - Organics'!F80</f>
        <v>0</v>
      </c>
      <c r="P80" s="390"/>
      <c r="Q80" s="391"/>
      <c r="R80" s="392">
        <f>'App 5 - Organics'!J80</f>
        <v>732.37</v>
      </c>
      <c r="S80" s="393">
        <f t="shared" si="35"/>
        <v>3.0236235426231133</v>
      </c>
      <c r="T80" s="394">
        <f t="shared" si="36"/>
        <v>1.4703083358217006</v>
      </c>
      <c r="V80" s="395">
        <f>'App 1 - Services'!G80</f>
        <v>6359</v>
      </c>
      <c r="W80" s="396">
        <f>'App 1 - Services'!M80</f>
        <v>6359</v>
      </c>
      <c r="X80" s="397">
        <f>'App 1 - Services'!N80</f>
        <v>613</v>
      </c>
      <c r="Y80" s="398">
        <f>'App 1 - Services'!O80</f>
        <v>0</v>
      </c>
      <c r="Z80" s="392">
        <f>'App 1 - Services'!P80</f>
        <v>4658</v>
      </c>
      <c r="AB80" s="399">
        <f>'App 1 - Services'!F80</f>
        <v>13077</v>
      </c>
      <c r="AC80" s="396">
        <f t="shared" si="31"/>
        <v>13077</v>
      </c>
      <c r="AD80" s="397">
        <f t="shared" si="32"/>
        <v>1260.607170938827</v>
      </c>
      <c r="AE80" s="398">
        <f t="shared" si="33"/>
        <v>0</v>
      </c>
      <c r="AF80" s="392">
        <f t="shared" si="34"/>
        <v>9578.9693348010696</v>
      </c>
      <c r="AG80" s="400" t="s">
        <v>14</v>
      </c>
      <c r="AH80" s="401">
        <f t="shared" si="24"/>
        <v>4658</v>
      </c>
      <c r="AI80" s="401">
        <f t="shared" si="25"/>
        <v>9578.9693348010696</v>
      </c>
      <c r="AJ80" s="401">
        <f t="shared" si="26"/>
        <v>732.37</v>
      </c>
      <c r="AK80" s="393"/>
      <c r="AL80" s="394">
        <f>(AJ80*1000)/AF80/52</f>
        <v>1.4703083358217006</v>
      </c>
    </row>
    <row r="81" spans="1:38" x14ac:dyDescent="0.2">
      <c r="A81" s="8">
        <v>15350</v>
      </c>
      <c r="B81" s="8" t="s">
        <v>140</v>
      </c>
      <c r="C81" s="8" t="s">
        <v>26</v>
      </c>
      <c r="D81" s="29" t="s">
        <v>3</v>
      </c>
      <c r="E81" s="381"/>
      <c r="F81" s="382">
        <f>'App 6 - Residual Waste'!F81</f>
        <v>6279</v>
      </c>
      <c r="G81" s="383">
        <f t="shared" si="22"/>
        <v>9.1964965727341959</v>
      </c>
      <c r="H81" s="384">
        <f t="shared" si="23"/>
        <v>3.9223647880461265</v>
      </c>
      <c r="I81" s="385"/>
      <c r="J81" s="386"/>
      <c r="K81" s="387">
        <f>'App 4 - Recyclables'!F81</f>
        <v>2592</v>
      </c>
      <c r="L81" s="388">
        <f t="shared" si="27"/>
        <v>3.7963559669576421</v>
      </c>
      <c r="M81" s="388">
        <f t="shared" si="28"/>
        <v>1.6191701752851664</v>
      </c>
      <c r="N81" s="381"/>
      <c r="O81" s="389">
        <f>'App 5 - Organics'!F81</f>
        <v>1618</v>
      </c>
      <c r="P81" s="390">
        <f t="shared" si="29"/>
        <v>2.369793192336985</v>
      </c>
      <c r="Q81" s="391">
        <f t="shared" si="30"/>
        <v>1.0107319998500768</v>
      </c>
      <c r="R81" s="392">
        <f>'App 5 - Organics'!J81</f>
        <v>0</v>
      </c>
      <c r="S81" s="393"/>
      <c r="T81" s="394"/>
      <c r="V81" s="395">
        <f>'App 1 - Services'!G81</f>
        <v>13130</v>
      </c>
      <c r="W81" s="396">
        <f>'App 1 - Services'!M81</f>
        <v>13130</v>
      </c>
      <c r="X81" s="397">
        <f>'App 1 - Services'!N81</f>
        <v>13130</v>
      </c>
      <c r="Y81" s="398">
        <f>'App 1 - Services'!O81</f>
        <v>13130</v>
      </c>
      <c r="Z81" s="392">
        <f>'App 1 - Services'!P81</f>
        <v>0</v>
      </c>
      <c r="AB81" s="399">
        <f>'App 1 - Services'!F81</f>
        <v>30785</v>
      </c>
      <c r="AC81" s="396">
        <f t="shared" si="31"/>
        <v>30785</v>
      </c>
      <c r="AD81" s="397">
        <f t="shared" si="32"/>
        <v>30785</v>
      </c>
      <c r="AE81" s="398">
        <f t="shared" si="33"/>
        <v>30785</v>
      </c>
      <c r="AF81" s="392">
        <f t="shared" si="34"/>
        <v>0</v>
      </c>
      <c r="AG81" s="400"/>
      <c r="AH81" s="401">
        <f t="shared" si="24"/>
        <v>13130</v>
      </c>
      <c r="AI81" s="401">
        <f t="shared" si="25"/>
        <v>30785</v>
      </c>
      <c r="AJ81" s="401">
        <f t="shared" si="26"/>
        <v>1618</v>
      </c>
      <c r="AK81" s="393">
        <f>(AJ81*1000)/AE81/52</f>
        <v>1.0107319998500768</v>
      </c>
      <c r="AL81" s="394"/>
    </row>
    <row r="82" spans="1:38" x14ac:dyDescent="0.2">
      <c r="A82" s="8">
        <v>15520</v>
      </c>
      <c r="B82" s="8" t="s">
        <v>141</v>
      </c>
      <c r="C82" s="8" t="s">
        <v>73</v>
      </c>
      <c r="D82" s="29" t="s">
        <v>1</v>
      </c>
      <c r="E82" s="381"/>
      <c r="F82" s="382">
        <f>'App 6 - Residual Waste'!F82</f>
        <v>1789.93</v>
      </c>
      <c r="G82" s="383">
        <f t="shared" si="22"/>
        <v>6.3426811809896391</v>
      </c>
      <c r="H82" s="384">
        <f t="shared" si="23"/>
        <v>4.620434904107781</v>
      </c>
      <c r="I82" s="385"/>
      <c r="J82" s="386"/>
      <c r="K82" s="387">
        <f>'App 4 - Recyclables'!F82</f>
        <v>746.91</v>
      </c>
      <c r="L82" s="388">
        <f t="shared" si="27"/>
        <v>2.7250339302132129</v>
      </c>
      <c r="M82" s="388">
        <f t="shared" si="28"/>
        <v>1.9850977097465594</v>
      </c>
      <c r="N82" s="381"/>
      <c r="O82" s="389">
        <f>'App 5 - Organics'!F82</f>
        <v>788.61</v>
      </c>
      <c r="P82" s="390">
        <f t="shared" si="29"/>
        <v>5.8758531278872237</v>
      </c>
      <c r="Q82" s="391">
        <f t="shared" si="30"/>
        <v>4.2803660011908384</v>
      </c>
      <c r="R82" s="392">
        <f>'App 5 - Organics'!J82</f>
        <v>0</v>
      </c>
      <c r="S82" s="393"/>
      <c r="T82" s="394"/>
      <c r="V82" s="395">
        <f>'App 1 - Services'!G82</f>
        <v>8982</v>
      </c>
      <c r="W82" s="396">
        <f>'App 1 - Services'!M82</f>
        <v>5427</v>
      </c>
      <c r="X82" s="397">
        <f>'App 1 - Services'!N82</f>
        <v>5271</v>
      </c>
      <c r="Y82" s="398">
        <f>'App 1 - Services'!O82</f>
        <v>2581</v>
      </c>
      <c r="Z82" s="392">
        <f>'App 1 - Services'!P82</f>
        <v>0</v>
      </c>
      <c r="AB82" s="399">
        <f>'App 1 - Services'!F82</f>
        <v>12330</v>
      </c>
      <c r="AC82" s="396">
        <f t="shared" si="31"/>
        <v>7449.8897795591183</v>
      </c>
      <c r="AD82" s="397">
        <f t="shared" si="32"/>
        <v>7235.7414829659319</v>
      </c>
      <c r="AE82" s="398">
        <f t="shared" si="33"/>
        <v>3543.056112224449</v>
      </c>
      <c r="AF82" s="392">
        <f t="shared" si="34"/>
        <v>0</v>
      </c>
      <c r="AG82" s="400"/>
      <c r="AH82" s="401">
        <f t="shared" si="24"/>
        <v>2581</v>
      </c>
      <c r="AI82" s="401">
        <f t="shared" si="25"/>
        <v>3543.056112224449</v>
      </c>
      <c r="AJ82" s="401">
        <f t="shared" si="26"/>
        <v>788.61</v>
      </c>
      <c r="AK82" s="393">
        <f>(AJ82*1000)/AE82/52</f>
        <v>4.2803660011908384</v>
      </c>
      <c r="AL82" s="394"/>
    </row>
    <row r="83" spans="1:38" x14ac:dyDescent="0.2">
      <c r="A83" s="8">
        <v>15560</v>
      </c>
      <c r="B83" s="8" t="s">
        <v>142</v>
      </c>
      <c r="C83" s="8" t="s">
        <v>75</v>
      </c>
      <c r="D83" s="29" t="s">
        <v>1</v>
      </c>
      <c r="E83" s="381"/>
      <c r="F83" s="382">
        <f>'App 6 - Residual Waste'!F83</f>
        <v>600</v>
      </c>
      <c r="G83" s="383">
        <f t="shared" si="22"/>
        <v>12.261914493582932</v>
      </c>
      <c r="H83" s="384">
        <f t="shared" si="23"/>
        <v>8.1819158763361077</v>
      </c>
      <c r="I83" s="385"/>
      <c r="J83" s="386"/>
      <c r="K83" s="387">
        <f>'App 4 - Recyclables'!F83</f>
        <v>105.08</v>
      </c>
      <c r="L83" s="388">
        <f t="shared" si="27"/>
        <v>2.4917006544626763</v>
      </c>
      <c r="M83" s="388">
        <f t="shared" si="28"/>
        <v>1.6626184397627617</v>
      </c>
      <c r="N83" s="381"/>
      <c r="O83" s="389">
        <f>'App 5 - Organics'!F83</f>
        <v>0</v>
      </c>
      <c r="P83" s="390"/>
      <c r="Q83" s="391"/>
      <c r="R83" s="392">
        <f>'App 5 - Organics'!J83</f>
        <v>0</v>
      </c>
      <c r="S83" s="393"/>
      <c r="T83" s="394"/>
      <c r="V83" s="395">
        <f>'App 1 - Services'!G83</f>
        <v>2613</v>
      </c>
      <c r="W83" s="396">
        <f>'App 1 - Services'!M83</f>
        <v>941</v>
      </c>
      <c r="X83" s="397">
        <f>'App 1 - Services'!N83</f>
        <v>811</v>
      </c>
      <c r="Y83" s="398">
        <f>'App 1 - Services'!O83</f>
        <v>0</v>
      </c>
      <c r="Z83" s="392">
        <f>'App 1 - Services'!P83</f>
        <v>0</v>
      </c>
      <c r="AA83" s="2">
        <v>1</v>
      </c>
      <c r="AB83" s="399">
        <f>'App 1 - Services'!F83</f>
        <v>3916</v>
      </c>
      <c r="AC83" s="396">
        <f t="shared" si="31"/>
        <v>1410.2395713738997</v>
      </c>
      <c r="AD83" s="397">
        <f t="shared" si="32"/>
        <v>1215.4137007271336</v>
      </c>
      <c r="AE83" s="398">
        <f t="shared" si="33"/>
        <v>0</v>
      </c>
      <c r="AF83" s="392">
        <f t="shared" si="34"/>
        <v>0</v>
      </c>
      <c r="AG83" s="400"/>
      <c r="AH83" s="401">
        <f t="shared" si="24"/>
        <v>0</v>
      </c>
      <c r="AI83" s="401">
        <f t="shared" si="25"/>
        <v>0</v>
      </c>
      <c r="AJ83" s="401">
        <f t="shared" si="26"/>
        <v>0</v>
      </c>
      <c r="AK83" s="393"/>
      <c r="AL83" s="394"/>
    </row>
    <row r="84" spans="1:38" x14ac:dyDescent="0.2">
      <c r="A84" s="8">
        <v>15650</v>
      </c>
      <c r="B84" s="8" t="s">
        <v>143</v>
      </c>
      <c r="C84" s="8" t="s">
        <v>25</v>
      </c>
      <c r="D84" s="29" t="s">
        <v>4</v>
      </c>
      <c r="E84" s="381"/>
      <c r="F84" s="382">
        <f>'App 6 - Residual Waste'!F84</f>
        <v>3463.16</v>
      </c>
      <c r="G84" s="383">
        <f t="shared" si="22"/>
        <v>10.654172255516041</v>
      </c>
      <c r="H84" s="384">
        <f t="shared" si="23"/>
        <v>5.2303484585471285</v>
      </c>
      <c r="I84" s="385"/>
      <c r="J84" s="386"/>
      <c r="K84" s="387">
        <f>'App 4 - Recyclables'!F84</f>
        <v>982.73</v>
      </c>
      <c r="L84" s="388">
        <f t="shared" si="27"/>
        <v>3.0849908335216858</v>
      </c>
      <c r="M84" s="388">
        <f t="shared" si="28"/>
        <v>1.5144843413234859</v>
      </c>
      <c r="N84" s="381"/>
      <c r="O84" s="389">
        <f>'App 5 - Organics'!F84</f>
        <v>1813.42</v>
      </c>
      <c r="P84" s="390">
        <f t="shared" si="29"/>
        <v>6.0839953835417901</v>
      </c>
      <c r="Q84" s="391">
        <f t="shared" si="30"/>
        <v>2.9867562784749024</v>
      </c>
      <c r="R84" s="392">
        <f>'App 5 - Organics'!J84</f>
        <v>0</v>
      </c>
      <c r="S84" s="393"/>
      <c r="T84" s="394"/>
      <c r="V84" s="395">
        <f>'App 1 - Services'!G84</f>
        <v>8029</v>
      </c>
      <c r="W84" s="396">
        <f>'App 1 - Services'!M84</f>
        <v>6251</v>
      </c>
      <c r="X84" s="397">
        <f>'App 1 - Services'!N84</f>
        <v>6126</v>
      </c>
      <c r="Y84" s="398">
        <f>'App 1 - Services'!O84</f>
        <v>5732</v>
      </c>
      <c r="Z84" s="392">
        <f>'App 1 - Services'!P84</f>
        <v>0</v>
      </c>
      <c r="AB84" s="399">
        <f>'App 1 - Services'!F84</f>
        <v>16355</v>
      </c>
      <c r="AC84" s="396">
        <f t="shared" si="31"/>
        <v>12733.23016564952</v>
      </c>
      <c r="AD84" s="397">
        <f t="shared" si="32"/>
        <v>12478.606302154691</v>
      </c>
      <c r="AE84" s="398">
        <f t="shared" si="33"/>
        <v>11676.031884418981</v>
      </c>
      <c r="AF84" s="392">
        <f t="shared" si="34"/>
        <v>0</v>
      </c>
      <c r="AG84" s="400"/>
      <c r="AH84" s="401">
        <f t="shared" si="24"/>
        <v>5732</v>
      </c>
      <c r="AI84" s="401">
        <f t="shared" si="25"/>
        <v>11676.031884418981</v>
      </c>
      <c r="AJ84" s="401">
        <f t="shared" si="26"/>
        <v>1813.42</v>
      </c>
      <c r="AK84" s="393">
        <f>(AJ84*1000)/AE84/52</f>
        <v>2.9867562784749024</v>
      </c>
      <c r="AL84" s="394"/>
    </row>
    <row r="85" spans="1:38" x14ac:dyDescent="0.2">
      <c r="A85" s="8">
        <v>15700</v>
      </c>
      <c r="B85" s="8" t="s">
        <v>61</v>
      </c>
      <c r="C85" s="8" t="s">
        <v>43</v>
      </c>
      <c r="D85" s="29" t="s">
        <v>4</v>
      </c>
      <c r="E85" s="381"/>
      <c r="F85" s="382">
        <f>'App 6 - Residual Waste'!F85</f>
        <v>3505</v>
      </c>
      <c r="G85" s="383">
        <f t="shared" si="22"/>
        <v>9.9503758715450488</v>
      </c>
      <c r="H85" s="384">
        <f t="shared" si="23"/>
        <v>5.0931736121105171</v>
      </c>
      <c r="I85" s="385"/>
      <c r="J85" s="386"/>
      <c r="K85" s="387">
        <f>'App 4 - Recyclables'!F85</f>
        <v>1455</v>
      </c>
      <c r="L85" s="388">
        <f t="shared" si="27"/>
        <v>4.1306125229951629</v>
      </c>
      <c r="M85" s="388">
        <f t="shared" si="28"/>
        <v>2.1142846235722685</v>
      </c>
      <c r="N85" s="381"/>
      <c r="O85" s="389">
        <f>'App 5 - Organics'!F85</f>
        <v>0</v>
      </c>
      <c r="P85" s="390"/>
      <c r="Q85" s="391"/>
      <c r="R85" s="392">
        <f>'App 5 - Organics'!J85</f>
        <v>2585</v>
      </c>
      <c r="S85" s="393">
        <f>(R85*1000)/Z85/52</f>
        <v>7.3385796370738792</v>
      </c>
      <c r="T85" s="394">
        <f>(R85*1000)/AF85/52</f>
        <v>3.7563063587177417</v>
      </c>
      <c r="V85" s="395">
        <f>'App 1 - Services'!G85</f>
        <v>10166</v>
      </c>
      <c r="W85" s="396">
        <f>'App 1 - Services'!M85</f>
        <v>6774</v>
      </c>
      <c r="X85" s="397">
        <f>'App 1 - Services'!N85</f>
        <v>6774</v>
      </c>
      <c r="Y85" s="398">
        <f>'App 1 - Services'!O85</f>
        <v>0</v>
      </c>
      <c r="Z85" s="392">
        <f>'App 1 - Services'!P85</f>
        <v>6774</v>
      </c>
      <c r="AB85" s="399">
        <f>'App 1 - Services'!F85</f>
        <v>19861</v>
      </c>
      <c r="AC85" s="396">
        <f t="shared" si="31"/>
        <v>13234.154436356481</v>
      </c>
      <c r="AD85" s="397">
        <f t="shared" si="32"/>
        <v>13234.154436356481</v>
      </c>
      <c r="AE85" s="398">
        <f t="shared" si="33"/>
        <v>0</v>
      </c>
      <c r="AF85" s="392">
        <f t="shared" si="34"/>
        <v>13234.154436356481</v>
      </c>
      <c r="AG85" s="400" t="s">
        <v>14</v>
      </c>
      <c r="AH85" s="401">
        <f t="shared" si="24"/>
        <v>6774</v>
      </c>
      <c r="AI85" s="401">
        <f t="shared" si="25"/>
        <v>13234.154436356481</v>
      </c>
      <c r="AJ85" s="401">
        <f>O85+R85</f>
        <v>2585</v>
      </c>
      <c r="AK85" s="393"/>
      <c r="AL85" s="394">
        <f>(AJ85*1000)/AF85/52</f>
        <v>3.7563063587177417</v>
      </c>
    </row>
    <row r="86" spans="1:38" x14ac:dyDescent="0.2">
      <c r="A86" s="8">
        <v>15750</v>
      </c>
      <c r="B86" s="8" t="s">
        <v>144</v>
      </c>
      <c r="C86" s="8" t="s">
        <v>17</v>
      </c>
      <c r="D86" s="29" t="s">
        <v>1</v>
      </c>
      <c r="E86" s="381"/>
      <c r="F86" s="382">
        <f>'App 6 - Residual Waste'!F86</f>
        <v>2217.0300000000002</v>
      </c>
      <c r="G86" s="383">
        <f t="shared" si="22"/>
        <v>9.774230240186224</v>
      </c>
      <c r="H86" s="384">
        <f t="shared" si="23"/>
        <v>5.1361711055986614</v>
      </c>
      <c r="I86" s="385"/>
      <c r="J86" s="386"/>
      <c r="K86" s="387">
        <f>'App 4 - Recyclables'!F86</f>
        <v>531.15</v>
      </c>
      <c r="L86" s="388">
        <f t="shared" si="27"/>
        <v>2.3787664361721186</v>
      </c>
      <c r="M86" s="388">
        <f t="shared" si="28"/>
        <v>1.2499962796254285</v>
      </c>
      <c r="N86" s="381"/>
      <c r="O86" s="389">
        <f>'App 5 - Organics'!F86</f>
        <v>0</v>
      </c>
      <c r="P86" s="390"/>
      <c r="Q86" s="391"/>
      <c r="R86" s="392">
        <f>'App 5 - Organics'!J86</f>
        <v>875.65</v>
      </c>
      <c r="S86" s="393">
        <f>(R86*1000)/Z86/52</f>
        <v>3.9216169252266133</v>
      </c>
      <c r="T86" s="394">
        <f>(R86*1000)/AF86/52</f>
        <v>2.0607347119533213</v>
      </c>
      <c r="V86" s="395">
        <f>'App 1 - Services'!G86</f>
        <v>6857</v>
      </c>
      <c r="W86" s="396">
        <f>'App 1 - Services'!M86</f>
        <v>4362</v>
      </c>
      <c r="X86" s="397">
        <f>'App 1 - Services'!N86</f>
        <v>4294</v>
      </c>
      <c r="Y86" s="398">
        <f>'App 1 - Services'!O86</f>
        <v>0</v>
      </c>
      <c r="Z86" s="392">
        <f>'App 1 - Services'!P86</f>
        <v>4294</v>
      </c>
      <c r="AB86" s="399">
        <f>'App 1 - Services'!F86</f>
        <v>13049</v>
      </c>
      <c r="AC86" s="396">
        <f t="shared" si="31"/>
        <v>8300.9680618346229</v>
      </c>
      <c r="AD86" s="397">
        <f t="shared" si="32"/>
        <v>8171.5627825579695</v>
      </c>
      <c r="AE86" s="398">
        <f t="shared" si="33"/>
        <v>0</v>
      </c>
      <c r="AF86" s="392">
        <f t="shared" si="34"/>
        <v>8171.5627825579695</v>
      </c>
      <c r="AG86" s="400" t="s">
        <v>14</v>
      </c>
      <c r="AH86" s="401">
        <f t="shared" si="24"/>
        <v>4294</v>
      </c>
      <c r="AI86" s="401">
        <f t="shared" si="25"/>
        <v>8171.5627825579695</v>
      </c>
      <c r="AJ86" s="401">
        <f>O86+R86</f>
        <v>875.65</v>
      </c>
      <c r="AK86" s="393"/>
      <c r="AL86" s="394">
        <f>(AJ86*1000)/AF86/52</f>
        <v>2.0607347119533213</v>
      </c>
    </row>
    <row r="87" spans="1:38" x14ac:dyDescent="0.2">
      <c r="A87" s="8">
        <v>15800</v>
      </c>
      <c r="B87" s="8" t="s">
        <v>145</v>
      </c>
      <c r="C87" s="8" t="s">
        <v>75</v>
      </c>
      <c r="D87" s="29" t="s">
        <v>1</v>
      </c>
      <c r="E87" s="381"/>
      <c r="F87" s="382">
        <f>'App 6 - Residual Waste'!F87</f>
        <v>2678</v>
      </c>
      <c r="G87" s="383">
        <f t="shared" si="22"/>
        <v>20</v>
      </c>
      <c r="H87" s="384">
        <f t="shared" si="23"/>
        <v>8.7913963810174121</v>
      </c>
      <c r="I87" s="385"/>
      <c r="J87" s="386"/>
      <c r="K87" s="387">
        <f>'App 4 - Recyclables'!F87</f>
        <v>840</v>
      </c>
      <c r="L87" s="388">
        <f t="shared" si="27"/>
        <v>7.4925074925074933</v>
      </c>
      <c r="M87" s="388">
        <f t="shared" si="28"/>
        <v>3.2934801627188106</v>
      </c>
      <c r="N87" s="381"/>
      <c r="O87" s="389">
        <f>'App 5 - Organics'!F87</f>
        <v>0</v>
      </c>
      <c r="P87" s="390"/>
      <c r="Q87" s="391"/>
      <c r="R87" s="392">
        <f>'App 5 - Organics'!J87</f>
        <v>0</v>
      </c>
      <c r="S87" s="393"/>
      <c r="T87" s="394"/>
      <c r="V87" s="395">
        <f>'App 1 - Services'!G87</f>
        <v>2575</v>
      </c>
      <c r="W87" s="396">
        <f>'App 1 - Services'!M87</f>
        <v>2575</v>
      </c>
      <c r="X87" s="397">
        <f>'App 1 - Services'!N87</f>
        <v>2156</v>
      </c>
      <c r="Y87" s="398">
        <f>'App 1 - Services'!O87</f>
        <v>0</v>
      </c>
      <c r="Z87" s="392">
        <f>'App 1 - Services'!P87</f>
        <v>0</v>
      </c>
      <c r="AA87" s="2">
        <v>1</v>
      </c>
      <c r="AB87" s="399">
        <f>'App 1 - Services'!F87</f>
        <v>5858</v>
      </c>
      <c r="AC87" s="396">
        <f t="shared" si="31"/>
        <v>5858</v>
      </c>
      <c r="AD87" s="397">
        <f t="shared" si="32"/>
        <v>4904.7953398058253</v>
      </c>
      <c r="AE87" s="398">
        <f t="shared" si="33"/>
        <v>0</v>
      </c>
      <c r="AF87" s="392">
        <f t="shared" si="34"/>
        <v>0</v>
      </c>
      <c r="AG87" s="400"/>
      <c r="AH87" s="401">
        <f t="shared" si="24"/>
        <v>0</v>
      </c>
      <c r="AI87" s="401">
        <f t="shared" si="25"/>
        <v>0</v>
      </c>
      <c r="AJ87" s="401">
        <f t="shared" si="26"/>
        <v>0</v>
      </c>
      <c r="AK87" s="393"/>
      <c r="AL87" s="394"/>
    </row>
    <row r="88" spans="1:38" x14ac:dyDescent="0.2">
      <c r="A88" s="8">
        <v>15850</v>
      </c>
      <c r="B88" s="8" t="s">
        <v>146</v>
      </c>
      <c r="C88" s="8" t="s">
        <v>42</v>
      </c>
      <c r="D88" s="29" t="s">
        <v>1</v>
      </c>
      <c r="E88" s="402"/>
      <c r="F88" s="382">
        <f>'App 6 - Residual Waste'!F88</f>
        <v>1434</v>
      </c>
      <c r="G88" s="383">
        <f t="shared" si="22"/>
        <v>13.458722829147426</v>
      </c>
      <c r="H88" s="384">
        <f t="shared" si="23"/>
        <v>7.006452766938513</v>
      </c>
      <c r="I88" s="385"/>
      <c r="J88" s="386"/>
      <c r="K88" s="387">
        <f>'App 4 - Recyclables'!F88</f>
        <v>317</v>
      </c>
      <c r="L88" s="388">
        <f t="shared" si="27"/>
        <v>3.1504671039554761</v>
      </c>
      <c r="M88" s="388">
        <f t="shared" si="28"/>
        <v>1.6400961100003508</v>
      </c>
      <c r="N88" s="381"/>
      <c r="O88" s="389">
        <f>'App 5 - Organics'!F88</f>
        <v>0</v>
      </c>
      <c r="P88" s="390"/>
      <c r="Q88" s="391"/>
      <c r="R88" s="392">
        <f>'App 5 - Organics'!J88</f>
        <v>805</v>
      </c>
      <c r="S88" s="393">
        <f t="shared" si="35"/>
        <v>8.0003975352812553</v>
      </c>
      <c r="T88" s="394">
        <f t="shared" si="36"/>
        <v>4.164912834543478</v>
      </c>
      <c r="V88" s="395">
        <f>'App 1 - Services'!G88</f>
        <v>3363</v>
      </c>
      <c r="W88" s="396">
        <f>'App 1 - Services'!M88</f>
        <v>2049</v>
      </c>
      <c r="X88" s="397">
        <f>'App 1 - Services'!N88</f>
        <v>1935</v>
      </c>
      <c r="Y88" s="398">
        <f>'App 1 - Services'!O88</f>
        <v>0</v>
      </c>
      <c r="Z88" s="392">
        <f>'App 1 - Services'!P88</f>
        <v>1935</v>
      </c>
      <c r="AB88" s="399">
        <f>'App 1 - Services'!F88</f>
        <v>6460</v>
      </c>
      <c r="AC88" s="396">
        <f t="shared" si="31"/>
        <v>3935.9322033898306</v>
      </c>
      <c r="AD88" s="397">
        <f t="shared" si="32"/>
        <v>3716.9491525423728</v>
      </c>
      <c r="AE88" s="398">
        <f t="shared" si="33"/>
        <v>0</v>
      </c>
      <c r="AF88" s="392">
        <f t="shared" si="34"/>
        <v>3716.9491525423728</v>
      </c>
      <c r="AG88" s="400" t="s">
        <v>14</v>
      </c>
      <c r="AH88" s="401">
        <f t="shared" si="24"/>
        <v>1935</v>
      </c>
      <c r="AI88" s="401">
        <f t="shared" si="25"/>
        <v>3716.9491525423728</v>
      </c>
      <c r="AJ88" s="401">
        <f t="shared" si="26"/>
        <v>805</v>
      </c>
      <c r="AK88" s="393"/>
      <c r="AL88" s="394">
        <f>(AJ88*1000)/AF88/52</f>
        <v>4.164912834543478</v>
      </c>
    </row>
    <row r="89" spans="1:38" x14ac:dyDescent="0.2">
      <c r="A89" s="8">
        <v>15900</v>
      </c>
      <c r="B89" s="8" t="s">
        <v>147</v>
      </c>
      <c r="C89" s="8" t="s">
        <v>25</v>
      </c>
      <c r="D89" s="29" t="s">
        <v>2</v>
      </c>
      <c r="E89" s="381"/>
      <c r="F89" s="382">
        <f>'App 6 - Residual Waste'!F89</f>
        <v>38278.74</v>
      </c>
      <c r="G89" s="383">
        <f t="shared" si="22"/>
        <v>14.230776666111495</v>
      </c>
      <c r="H89" s="384">
        <f t="shared" si="23"/>
        <v>6.2016198092938222</v>
      </c>
      <c r="I89" s="385"/>
      <c r="J89" s="386"/>
      <c r="K89" s="387">
        <f>'App 4 - Recyclables'!F89</f>
        <v>13396.37</v>
      </c>
      <c r="L89" s="388">
        <f t="shared" si="27"/>
        <v>4.9489492085446436</v>
      </c>
      <c r="M89" s="388">
        <f t="shared" si="28"/>
        <v>2.1566989748343639</v>
      </c>
      <c r="N89" s="381"/>
      <c r="O89" s="389">
        <f>'App 5 - Organics'!F89</f>
        <v>16567.34</v>
      </c>
      <c r="P89" s="390">
        <f t="shared" si="29"/>
        <v>6.0659652401365554</v>
      </c>
      <c r="Q89" s="391">
        <f t="shared" si="30"/>
        <v>2.6434825785230887</v>
      </c>
      <c r="R89" s="392">
        <f>'App 5 - Organics'!J89</f>
        <v>0</v>
      </c>
      <c r="S89" s="393"/>
      <c r="T89" s="394"/>
      <c r="V89" s="395">
        <f>'App 1 - Services'!G89</f>
        <v>72935</v>
      </c>
      <c r="W89" s="396">
        <f>'App 1 - Services'!M89</f>
        <v>51728</v>
      </c>
      <c r="X89" s="397">
        <f>'App 1 - Services'!N89</f>
        <v>52056</v>
      </c>
      <c r="Y89" s="398">
        <f>'App 1 - Services'!O89</f>
        <v>52523</v>
      </c>
      <c r="Z89" s="392">
        <f>'App 1 - Services'!P89</f>
        <v>0</v>
      </c>
      <c r="AB89" s="399">
        <f>'App 1 - Services'!F89</f>
        <v>167363</v>
      </c>
      <c r="AC89" s="396">
        <f t="shared" si="31"/>
        <v>118699.57172825118</v>
      </c>
      <c r="AD89" s="397">
        <f t="shared" si="32"/>
        <v>119452.22908068828</v>
      </c>
      <c r="AE89" s="398">
        <f t="shared" si="33"/>
        <v>120523.84793309112</v>
      </c>
      <c r="AF89" s="392">
        <f t="shared" si="34"/>
        <v>0</v>
      </c>
      <c r="AG89" s="400"/>
      <c r="AH89" s="401">
        <f t="shared" si="24"/>
        <v>52523</v>
      </c>
      <c r="AI89" s="401">
        <f t="shared" si="25"/>
        <v>120523.84793309112</v>
      </c>
      <c r="AJ89" s="401">
        <f t="shared" si="26"/>
        <v>16567.34</v>
      </c>
      <c r="AK89" s="393">
        <f>(AJ89*1000)/AE89/52</f>
        <v>2.6434825785230887</v>
      </c>
      <c r="AL89" s="394"/>
    </row>
    <row r="90" spans="1:38" x14ac:dyDescent="0.2">
      <c r="A90" s="8">
        <v>15950</v>
      </c>
      <c r="B90" s="8" t="s">
        <v>62</v>
      </c>
      <c r="C90" s="8" t="s">
        <v>26</v>
      </c>
      <c r="D90" s="29" t="s">
        <v>3</v>
      </c>
      <c r="E90" s="381"/>
      <c r="F90" s="382">
        <f>'App 6 - Residual Waste'!F90</f>
        <v>13195</v>
      </c>
      <c r="G90" s="383">
        <f t="shared" si="22"/>
        <v>6.5020755393840002</v>
      </c>
      <c r="H90" s="384">
        <f t="shared" si="23"/>
        <v>3.5243892022676429</v>
      </c>
      <c r="I90" s="385"/>
      <c r="J90" s="386"/>
      <c r="K90" s="387">
        <f>'App 4 - Recyclables'!F90</f>
        <v>5933</v>
      </c>
      <c r="L90" s="388">
        <f t="shared" si="27"/>
        <v>2.8030698173681663</v>
      </c>
      <c r="M90" s="388">
        <f t="shared" si="28"/>
        <v>1.5193777644838979</v>
      </c>
      <c r="N90" s="381"/>
      <c r="O90" s="389">
        <f>'App 5 - Organics'!F90</f>
        <v>0</v>
      </c>
      <c r="P90" s="390"/>
      <c r="Q90" s="391"/>
      <c r="R90" s="392">
        <f>'App 5 - Organics'!J90</f>
        <v>0</v>
      </c>
      <c r="S90" s="393"/>
      <c r="T90" s="394"/>
      <c r="V90" s="395">
        <f>'App 1 - Services'!G90</f>
        <v>40704</v>
      </c>
      <c r="W90" s="396">
        <f>'App 1 - Services'!M90</f>
        <v>39026</v>
      </c>
      <c r="X90" s="397">
        <f>'App 1 - Services'!N90</f>
        <v>40704</v>
      </c>
      <c r="Y90" s="398">
        <f>'App 1 - Services'!O90</f>
        <v>0</v>
      </c>
      <c r="Z90" s="392">
        <f>'App 1 - Services'!P90</f>
        <v>0</v>
      </c>
      <c r="AB90" s="399">
        <f>'App 1 - Services'!F90</f>
        <v>75094</v>
      </c>
      <c r="AC90" s="396">
        <f t="shared" si="31"/>
        <v>71998.291175314458</v>
      </c>
      <c r="AD90" s="397">
        <f t="shared" si="32"/>
        <v>75094</v>
      </c>
      <c r="AE90" s="398">
        <f t="shared" si="33"/>
        <v>0</v>
      </c>
      <c r="AF90" s="392">
        <f t="shared" si="34"/>
        <v>0</v>
      </c>
      <c r="AG90" s="400"/>
      <c r="AH90" s="401">
        <f t="shared" si="24"/>
        <v>0</v>
      </c>
      <c r="AI90" s="401">
        <f t="shared" si="25"/>
        <v>0</v>
      </c>
      <c r="AJ90" s="401">
        <f t="shared" si="26"/>
        <v>0</v>
      </c>
      <c r="AK90" s="393" t="e">
        <f>(AJ90*1000)/AE90/52</f>
        <v>#DIV/0!</v>
      </c>
      <c r="AL90" s="394"/>
    </row>
    <row r="91" spans="1:38" x14ac:dyDescent="0.2">
      <c r="A91" s="8">
        <v>15990</v>
      </c>
      <c r="B91" s="8" t="s">
        <v>148</v>
      </c>
      <c r="C91" s="8"/>
      <c r="D91" s="29" t="s">
        <v>3</v>
      </c>
      <c r="E91" s="381"/>
      <c r="F91" s="382">
        <f>'App 6 - Residual Waste'!F91</f>
        <v>47379.5</v>
      </c>
      <c r="G91" s="383">
        <f t="shared" si="22"/>
        <v>8.0770901438685065</v>
      </c>
      <c r="H91" s="384">
        <f t="shared" si="23"/>
        <v>3.3853860332021002</v>
      </c>
      <c r="I91" s="385"/>
      <c r="J91" s="386"/>
      <c r="K91" s="387">
        <f>'App 4 - Recyclables'!F91</f>
        <v>23181.93</v>
      </c>
      <c r="L91" s="388">
        <f t="shared" si="27"/>
        <v>3.9519737084361308</v>
      </c>
      <c r="M91" s="388">
        <f t="shared" si="28"/>
        <v>1.6564079832980245</v>
      </c>
      <c r="N91" s="381"/>
      <c r="O91" s="389">
        <f>'App 5 - Organics'!F91</f>
        <v>29505.7</v>
      </c>
      <c r="P91" s="390">
        <f t="shared" si="29"/>
        <v>5.0300277262938824</v>
      </c>
      <c r="Q91" s="391">
        <f t="shared" si="30"/>
        <v>2.1082574674669678</v>
      </c>
      <c r="R91" s="392">
        <f>'App 5 - Organics'!J91</f>
        <v>0</v>
      </c>
      <c r="S91" s="393"/>
      <c r="T91" s="394"/>
      <c r="V91" s="395">
        <f>'App 1 - Services'!G91</f>
        <v>114860</v>
      </c>
      <c r="W91" s="396">
        <f>'App 1 - Services'!M91</f>
        <v>112806</v>
      </c>
      <c r="X91" s="397">
        <f>'App 1 - Services'!N91</f>
        <v>112806</v>
      </c>
      <c r="Y91" s="398">
        <f>'App 1 - Services'!O91</f>
        <v>112806</v>
      </c>
      <c r="Z91" s="392">
        <f>'App 1 - Services'!P91</f>
        <v>0</v>
      </c>
      <c r="AB91" s="399">
        <f>'App 1 - Services'!F91</f>
        <v>274041</v>
      </c>
      <c r="AC91" s="396">
        <f t="shared" si="31"/>
        <v>269140.42352429044</v>
      </c>
      <c r="AD91" s="397">
        <f t="shared" si="32"/>
        <v>269140.42352429044</v>
      </c>
      <c r="AE91" s="398">
        <f t="shared" si="33"/>
        <v>269140.42352429044</v>
      </c>
      <c r="AF91" s="392">
        <f t="shared" si="34"/>
        <v>0</v>
      </c>
      <c r="AG91" s="400"/>
      <c r="AH91" s="401">
        <f t="shared" si="24"/>
        <v>112806</v>
      </c>
      <c r="AI91" s="401">
        <f t="shared" si="25"/>
        <v>269140.42352429044</v>
      </c>
      <c r="AJ91" s="401">
        <f t="shared" si="26"/>
        <v>29505.7</v>
      </c>
      <c r="AK91" s="393">
        <f>(AJ91*1000)/AE91/52</f>
        <v>2.1082574674669678</v>
      </c>
      <c r="AL91" s="394"/>
    </row>
    <row r="92" spans="1:38" x14ac:dyDescent="0.2">
      <c r="A92" s="8">
        <v>16100</v>
      </c>
      <c r="B92" s="8" t="s">
        <v>149</v>
      </c>
      <c r="C92" s="8" t="s">
        <v>42</v>
      </c>
      <c r="D92" s="29" t="s">
        <v>1</v>
      </c>
      <c r="E92" s="381"/>
      <c r="F92" s="382">
        <f>'App 6 - Residual Waste'!F92</f>
        <v>3739</v>
      </c>
      <c r="G92" s="383">
        <f t="shared" si="22"/>
        <v>47.999897298962722</v>
      </c>
      <c r="H92" s="384">
        <f t="shared" si="23"/>
        <v>34.819633932869984</v>
      </c>
      <c r="I92" s="385"/>
      <c r="J92" s="386"/>
      <c r="K92" s="387">
        <f>'App 4 - Recyclables'!F92</f>
        <v>0</v>
      </c>
      <c r="L92" s="388"/>
      <c r="M92" s="388"/>
      <c r="N92" s="381"/>
      <c r="O92" s="389">
        <f>'App 5 - Organics'!F92</f>
        <v>0</v>
      </c>
      <c r="P92" s="390"/>
      <c r="Q92" s="391"/>
      <c r="R92" s="392">
        <f>'App 5 - Organics'!J92</f>
        <v>0</v>
      </c>
      <c r="S92" s="393"/>
      <c r="T92" s="394"/>
      <c r="V92" s="395">
        <f>'App 1 - Services'!G92</f>
        <v>3931</v>
      </c>
      <c r="W92" s="396">
        <f>'App 1 - Services'!M92</f>
        <v>1498</v>
      </c>
      <c r="X92" s="397">
        <f>'App 1 - Services'!N92</f>
        <v>0</v>
      </c>
      <c r="Y92" s="398">
        <f>'App 1 - Services'!O92</f>
        <v>0</v>
      </c>
      <c r="Z92" s="392">
        <f>'App 1 - Services'!P92</f>
        <v>0</v>
      </c>
      <c r="AA92" s="2">
        <v>1</v>
      </c>
      <c r="AB92" s="399">
        <f>'App 1 - Services'!F92</f>
        <v>5419</v>
      </c>
      <c r="AC92" s="396">
        <f t="shared" si="31"/>
        <v>2065.0373950648691</v>
      </c>
      <c r="AD92" s="397">
        <f t="shared" si="32"/>
        <v>0</v>
      </c>
      <c r="AE92" s="398">
        <f t="shared" si="33"/>
        <v>0</v>
      </c>
      <c r="AF92" s="392">
        <f t="shared" si="34"/>
        <v>0</v>
      </c>
      <c r="AG92" s="400"/>
      <c r="AH92" s="401">
        <f t="shared" si="24"/>
        <v>0</v>
      </c>
      <c r="AI92" s="401">
        <f t="shared" si="25"/>
        <v>0</v>
      </c>
      <c r="AJ92" s="401">
        <f t="shared" si="26"/>
        <v>0</v>
      </c>
      <c r="AK92" s="393"/>
      <c r="AL92" s="394"/>
    </row>
    <row r="93" spans="1:38" x14ac:dyDescent="0.2">
      <c r="A93" s="8">
        <v>16150</v>
      </c>
      <c r="B93" s="8" t="s">
        <v>150</v>
      </c>
      <c r="C93" s="8" t="s">
        <v>42</v>
      </c>
      <c r="D93" s="29" t="s">
        <v>1</v>
      </c>
      <c r="E93" s="381"/>
      <c r="F93" s="382">
        <f>'App 6 - Residual Waste'!F93</f>
        <v>10281.17</v>
      </c>
      <c r="G93" s="383">
        <f t="shared" si="22"/>
        <v>11.807393711096308</v>
      </c>
      <c r="H93" s="384">
        <f t="shared" si="23"/>
        <v>5.337398662948341</v>
      </c>
      <c r="I93" s="385"/>
      <c r="J93" s="386"/>
      <c r="K93" s="387">
        <f>'App 4 - Recyclables'!F93</f>
        <v>2951.38</v>
      </c>
      <c r="L93" s="388">
        <f t="shared" si="27"/>
        <v>3.3907227249123419</v>
      </c>
      <c r="M93" s="388">
        <f t="shared" si="28"/>
        <v>1.5327378235357698</v>
      </c>
      <c r="N93" s="381"/>
      <c r="O93" s="389">
        <f>'App 5 - Organics'!F93</f>
        <v>0</v>
      </c>
      <c r="P93" s="390"/>
      <c r="Q93" s="391"/>
      <c r="R93" s="392">
        <f>'App 5 - Organics'!J93</f>
        <v>6389.4</v>
      </c>
      <c r="S93" s="393">
        <f t="shared" si="35"/>
        <v>7.201985635254494</v>
      </c>
      <c r="T93" s="394">
        <f t="shared" si="36"/>
        <v>3.2555760772214808</v>
      </c>
      <c r="V93" s="395">
        <f>'App 1 - Services'!G93</f>
        <v>19213</v>
      </c>
      <c r="W93" s="396">
        <f>'App 1 - Services'!M93</f>
        <v>16745</v>
      </c>
      <c r="X93" s="397">
        <f>'App 1 - Services'!N93</f>
        <v>16739</v>
      </c>
      <c r="Y93" s="398">
        <f>'App 1 - Services'!O93</f>
        <v>0</v>
      </c>
      <c r="Z93" s="392">
        <f>'App 1 - Services'!P93</f>
        <v>17061</v>
      </c>
      <c r="AB93" s="399">
        <f>'App 1 - Services'!F93</f>
        <v>42503</v>
      </c>
      <c r="AC93" s="396">
        <f t="shared" si="31"/>
        <v>37043.290220163435</v>
      </c>
      <c r="AD93" s="397">
        <f t="shared" si="32"/>
        <v>37030.017019726227</v>
      </c>
      <c r="AE93" s="398">
        <f t="shared" si="33"/>
        <v>0</v>
      </c>
      <c r="AF93" s="392">
        <f t="shared" si="34"/>
        <v>37742.345443189508</v>
      </c>
      <c r="AG93" s="400" t="s">
        <v>14</v>
      </c>
      <c r="AH93" s="401">
        <f t="shared" si="24"/>
        <v>17061</v>
      </c>
      <c r="AI93" s="401">
        <f t="shared" si="25"/>
        <v>37742.345443189508</v>
      </c>
      <c r="AJ93" s="401">
        <f t="shared" si="26"/>
        <v>6389.4</v>
      </c>
      <c r="AK93" s="393"/>
      <c r="AL93" s="394">
        <f>(AJ93*1000)/AF93/52</f>
        <v>3.2555760772214808</v>
      </c>
    </row>
    <row r="94" spans="1:38" x14ac:dyDescent="0.2">
      <c r="A94" s="8">
        <v>16200</v>
      </c>
      <c r="B94" s="8" t="s">
        <v>151</v>
      </c>
      <c r="C94" s="8" t="s">
        <v>42</v>
      </c>
      <c r="D94" s="29" t="s">
        <v>1</v>
      </c>
      <c r="E94" s="381"/>
      <c r="F94" s="382">
        <f>'App 6 - Residual Waste'!F94</f>
        <v>2208</v>
      </c>
      <c r="G94" s="383">
        <f t="shared" si="22"/>
        <v>7.9590512580203301</v>
      </c>
      <c r="H94" s="384">
        <f t="shared" si="23"/>
        <v>4.4221154565711815</v>
      </c>
      <c r="I94" s="385"/>
      <c r="J94" s="386"/>
      <c r="K94" s="387">
        <f>'App 4 - Recyclables'!F94</f>
        <v>777</v>
      </c>
      <c r="L94" s="388">
        <f t="shared" si="27"/>
        <v>2.8685559017676505</v>
      </c>
      <c r="M94" s="388">
        <f t="shared" si="28"/>
        <v>1.5937936545467604</v>
      </c>
      <c r="N94" s="381"/>
      <c r="O94" s="389">
        <f>'App 5 - Organics'!F94</f>
        <v>0</v>
      </c>
      <c r="P94" s="390"/>
      <c r="Q94" s="391"/>
      <c r="R94" s="392">
        <f>'App 5 - Organics'!J94</f>
        <v>1931</v>
      </c>
      <c r="S94" s="393">
        <f t="shared" si="35"/>
        <v>7.1289336503389098</v>
      </c>
      <c r="T94" s="394">
        <f t="shared" si="36"/>
        <v>3.9608951697938148</v>
      </c>
      <c r="V94" s="395">
        <f>'App 1 - Services'!G94</f>
        <v>8183</v>
      </c>
      <c r="W94" s="396">
        <f>'App 1 - Services'!M94</f>
        <v>5335</v>
      </c>
      <c r="X94" s="397">
        <f>'App 1 - Services'!N94</f>
        <v>5209</v>
      </c>
      <c r="Y94" s="398">
        <f>'App 1 - Services'!O94</f>
        <v>0</v>
      </c>
      <c r="Z94" s="392">
        <f>'App 1 - Services'!P94</f>
        <v>5209</v>
      </c>
      <c r="AB94" s="399">
        <f>'App 1 - Services'!F94</f>
        <v>14728</v>
      </c>
      <c r="AC94" s="396">
        <f t="shared" si="31"/>
        <v>9602.0872540633027</v>
      </c>
      <c r="AD94" s="397">
        <f t="shared" si="32"/>
        <v>9375.3088109495293</v>
      </c>
      <c r="AE94" s="398">
        <f t="shared" si="33"/>
        <v>0</v>
      </c>
      <c r="AF94" s="392">
        <f t="shared" si="34"/>
        <v>9375.3088109495293</v>
      </c>
      <c r="AG94" s="400" t="s">
        <v>14</v>
      </c>
      <c r="AH94" s="401">
        <f t="shared" si="24"/>
        <v>5209</v>
      </c>
      <c r="AI94" s="401">
        <f t="shared" si="25"/>
        <v>9375.3088109495293</v>
      </c>
      <c r="AJ94" s="401">
        <f t="shared" si="26"/>
        <v>1931</v>
      </c>
      <c r="AK94" s="393"/>
      <c r="AL94" s="394">
        <f>(AJ94*1000)/AF94/52</f>
        <v>3.9608951697938148</v>
      </c>
    </row>
    <row r="95" spans="1:38" x14ac:dyDescent="0.2">
      <c r="A95" s="8">
        <v>16260</v>
      </c>
      <c r="B95" s="8" t="s">
        <v>63</v>
      </c>
      <c r="C95" s="8" t="s">
        <v>19</v>
      </c>
      <c r="D95" s="29" t="s">
        <v>3</v>
      </c>
      <c r="E95" s="381"/>
      <c r="F95" s="382">
        <f>'App 6 - Residual Waste'!F95</f>
        <v>50420</v>
      </c>
      <c r="G95" s="383">
        <f t="shared" si="22"/>
        <v>11.072460712748484</v>
      </c>
      <c r="H95" s="384">
        <f t="shared" si="23"/>
        <v>4.2192551294529945</v>
      </c>
      <c r="I95" s="385"/>
      <c r="J95" s="386"/>
      <c r="K95" s="387">
        <f>'App 4 - Recyclables'!F95</f>
        <v>11538</v>
      </c>
      <c r="L95" s="388">
        <f t="shared" si="27"/>
        <v>2.5343470135648407</v>
      </c>
      <c r="M95" s="388">
        <f t="shared" si="28"/>
        <v>0.96573443918258239</v>
      </c>
      <c r="N95" s="381"/>
      <c r="O95" s="389">
        <f>'App 5 - Organics'!F95</f>
        <v>14900</v>
      </c>
      <c r="P95" s="390">
        <f t="shared" si="29"/>
        <v>3.2750247055554969</v>
      </c>
      <c r="Q95" s="391">
        <f t="shared" si="30"/>
        <v>1.2479759600402565</v>
      </c>
      <c r="R95" s="392">
        <f>'App 5 - Organics'!J95</f>
        <v>0</v>
      </c>
      <c r="S95" s="393"/>
      <c r="T95" s="394"/>
      <c r="V95" s="395">
        <f>'App 1 - Services'!G95</f>
        <v>99188</v>
      </c>
      <c r="W95" s="396">
        <f>'App 1 - Services'!M95</f>
        <v>87570</v>
      </c>
      <c r="X95" s="397">
        <f>'App 1 - Services'!N95</f>
        <v>87551</v>
      </c>
      <c r="Y95" s="398">
        <f>'App 1 - Services'!O95</f>
        <v>87492</v>
      </c>
      <c r="Z95" s="392">
        <f>'App 1 - Services'!P95</f>
        <v>0</v>
      </c>
      <c r="AB95" s="399">
        <f>'App 1 - Services'!F95</f>
        <v>260296</v>
      </c>
      <c r="AC95" s="396">
        <f t="shared" si="31"/>
        <v>229807.24200508124</v>
      </c>
      <c r="AD95" s="397">
        <f t="shared" si="32"/>
        <v>229757.38089284993</v>
      </c>
      <c r="AE95" s="398">
        <f t="shared" si="33"/>
        <v>229602.54901802639</v>
      </c>
      <c r="AF95" s="392">
        <f t="shared" si="34"/>
        <v>0</v>
      </c>
      <c r="AG95" s="400"/>
      <c r="AH95" s="401">
        <f t="shared" si="24"/>
        <v>87492</v>
      </c>
      <c r="AI95" s="401">
        <f t="shared" si="25"/>
        <v>229602.54901802639</v>
      </c>
      <c r="AJ95" s="401">
        <f t="shared" si="26"/>
        <v>14900</v>
      </c>
      <c r="AK95" s="393">
        <f>(AJ95*1000)/AE95/52</f>
        <v>1.2479759600402565</v>
      </c>
      <c r="AL95" s="394"/>
    </row>
    <row r="96" spans="1:38" x14ac:dyDescent="0.2">
      <c r="A96" s="8">
        <v>16350</v>
      </c>
      <c r="B96" s="8" t="s">
        <v>64</v>
      </c>
      <c r="C96" s="8" t="s">
        <v>19</v>
      </c>
      <c r="D96" s="29" t="s">
        <v>3</v>
      </c>
      <c r="E96" s="381"/>
      <c r="F96" s="382">
        <f>'App 6 - Residual Waste'!F96</f>
        <v>34115.85</v>
      </c>
      <c r="G96" s="383">
        <f t="shared" si="22"/>
        <v>8.2003104574849193</v>
      </c>
      <c r="H96" s="384">
        <f t="shared" si="23"/>
        <v>3.0788036456068832</v>
      </c>
      <c r="I96" s="385"/>
      <c r="J96" s="386"/>
      <c r="K96" s="387">
        <f>'App 4 - Recyclables'!F96</f>
        <v>16487.71</v>
      </c>
      <c r="L96" s="388">
        <f t="shared" si="27"/>
        <v>3.9630945948284646</v>
      </c>
      <c r="M96" s="388">
        <f t="shared" si="28"/>
        <v>1.4879424565329331</v>
      </c>
      <c r="N96" s="381"/>
      <c r="O96" s="389">
        <f>'App 5 - Organics'!F96</f>
        <v>0</v>
      </c>
      <c r="P96" s="390"/>
      <c r="Q96" s="391"/>
      <c r="R96" s="392">
        <f>'App 5 - Organics'!J96</f>
        <v>40146.120000000003</v>
      </c>
      <c r="S96" s="393">
        <f t="shared" si="35"/>
        <v>11.579511484870476</v>
      </c>
      <c r="T96" s="394">
        <f t="shared" si="36"/>
        <v>4.347523469849258</v>
      </c>
      <c r="V96" s="395">
        <f>'App 1 - Services'!G96</f>
        <v>81203</v>
      </c>
      <c r="W96" s="396">
        <f>'App 1 - Services'!M96</f>
        <v>80006</v>
      </c>
      <c r="X96" s="397">
        <f>'App 1 - Services'!N96</f>
        <v>80006</v>
      </c>
      <c r="Y96" s="398">
        <f>'App 1 - Services'!O96</f>
        <v>0</v>
      </c>
      <c r="Z96" s="392">
        <f>'App 1 - Services'!P96</f>
        <v>66673</v>
      </c>
      <c r="AB96" s="399">
        <f>'App 1 - Services'!F96</f>
        <v>216282</v>
      </c>
      <c r="AC96" s="396">
        <f t="shared" si="31"/>
        <v>213093.8227897984</v>
      </c>
      <c r="AD96" s="397">
        <f t="shared" si="32"/>
        <v>213093.8227897984</v>
      </c>
      <c r="AE96" s="398">
        <f t="shared" si="33"/>
        <v>0</v>
      </c>
      <c r="AF96" s="392">
        <f t="shared" si="34"/>
        <v>177581.7369555312</v>
      </c>
      <c r="AG96" s="400" t="s">
        <v>14</v>
      </c>
      <c r="AH96" s="401">
        <f t="shared" si="24"/>
        <v>66673</v>
      </c>
      <c r="AI96" s="401">
        <f t="shared" si="25"/>
        <v>177581.7369555312</v>
      </c>
      <c r="AJ96" s="401">
        <f t="shared" si="26"/>
        <v>40146.120000000003</v>
      </c>
      <c r="AK96" s="393"/>
      <c r="AL96" s="394">
        <f>(AJ96*1000)/AF96/52</f>
        <v>4.347523469849258</v>
      </c>
    </row>
    <row r="97" spans="1:38" x14ac:dyDescent="0.2">
      <c r="A97" s="8">
        <v>16380</v>
      </c>
      <c r="B97" s="8" t="s">
        <v>152</v>
      </c>
      <c r="C97" s="8" t="s">
        <v>43</v>
      </c>
      <c r="D97" s="29" t="s">
        <v>4</v>
      </c>
      <c r="E97" s="381"/>
      <c r="F97" s="382">
        <f>'App 6 - Residual Waste'!F97</f>
        <v>11981.68</v>
      </c>
      <c r="G97" s="383">
        <f t="shared" si="22"/>
        <v>7.6586094222204038</v>
      </c>
      <c r="H97" s="384">
        <f t="shared" si="23"/>
        <v>3.3949259772433402</v>
      </c>
      <c r="I97" s="385"/>
      <c r="J97" s="386"/>
      <c r="K97" s="387">
        <f>'App 4 - Recyclables'!F97</f>
        <v>7187.02</v>
      </c>
      <c r="L97" s="388">
        <f t="shared" si="27"/>
        <v>4.2721291752263557</v>
      </c>
      <c r="M97" s="388">
        <f t="shared" si="28"/>
        <v>1.8937592342854079</v>
      </c>
      <c r="N97" s="381"/>
      <c r="O97" s="389">
        <f>'App 5 - Organics'!F97</f>
        <v>0</v>
      </c>
      <c r="P97" s="390"/>
      <c r="Q97" s="391"/>
      <c r="R97" s="392">
        <f>'App 5 - Organics'!J97</f>
        <v>14292.6</v>
      </c>
      <c r="S97" s="393">
        <f t="shared" si="35"/>
        <v>9.4239077112971366</v>
      </c>
      <c r="T97" s="394">
        <f t="shared" si="36"/>
        <v>4.1774514578850077</v>
      </c>
      <c r="V97" s="395">
        <f>'App 1 - Services'!G97</f>
        <v>38101</v>
      </c>
      <c r="W97" s="396">
        <f>'App 1 - Services'!M97</f>
        <v>30086</v>
      </c>
      <c r="X97" s="397">
        <f>'App 1 - Services'!N97</f>
        <v>32352</v>
      </c>
      <c r="Y97" s="398">
        <f>'App 1 - Services'!O97</f>
        <v>0</v>
      </c>
      <c r="Z97" s="392">
        <f>'App 1 - Services'!P97</f>
        <v>29166</v>
      </c>
      <c r="AB97" s="399">
        <f>'App 1 - Services'!F97</f>
        <v>85952</v>
      </c>
      <c r="AC97" s="396">
        <f t="shared" si="31"/>
        <v>67870.971155612715</v>
      </c>
      <c r="AD97" s="397">
        <f t="shared" si="32"/>
        <v>72982.837825778857</v>
      </c>
      <c r="AE97" s="398">
        <f t="shared" si="33"/>
        <v>0</v>
      </c>
      <c r="AF97" s="392">
        <f t="shared" si="34"/>
        <v>65795.544263930089</v>
      </c>
      <c r="AG97" s="400" t="s">
        <v>14</v>
      </c>
      <c r="AH97" s="401">
        <f t="shared" si="24"/>
        <v>29166</v>
      </c>
      <c r="AI97" s="401">
        <f t="shared" si="25"/>
        <v>65795.544263930089</v>
      </c>
      <c r="AJ97" s="401">
        <f t="shared" si="26"/>
        <v>14292.6</v>
      </c>
      <c r="AK97" s="393"/>
      <c r="AL97" s="394">
        <f>(AJ97*1000)/AF97/52</f>
        <v>4.1774514578850077</v>
      </c>
    </row>
    <row r="98" spans="1:38" x14ac:dyDescent="0.2">
      <c r="A98" s="8">
        <v>16400</v>
      </c>
      <c r="B98" s="8" t="s">
        <v>65</v>
      </c>
      <c r="C98" s="8" t="s">
        <v>25</v>
      </c>
      <c r="D98" s="29" t="s">
        <v>2</v>
      </c>
      <c r="E98" s="381"/>
      <c r="F98" s="382">
        <f>'App 6 - Residual Waste'!F98</f>
        <v>27854.75</v>
      </c>
      <c r="G98" s="383">
        <f t="shared" si="22"/>
        <v>19.479554501282564</v>
      </c>
      <c r="H98" s="384">
        <f t="shared" si="23"/>
        <v>9.6124513568592427</v>
      </c>
      <c r="I98" s="385"/>
      <c r="J98" s="386"/>
      <c r="K98" s="387">
        <f>'App 4 - Recyclables'!F98</f>
        <v>6123.9</v>
      </c>
      <c r="L98" s="388">
        <f t="shared" si="27"/>
        <v>4.606403336161609</v>
      </c>
      <c r="M98" s="388">
        <f t="shared" si="28"/>
        <v>2.2730924362778526</v>
      </c>
      <c r="N98" s="381"/>
      <c r="O98" s="389">
        <f>'App 5 - Organics'!F98</f>
        <v>0</v>
      </c>
      <c r="P98" s="390"/>
      <c r="Q98" s="391"/>
      <c r="R98" s="392">
        <f>'App 5 - Organics'!J98</f>
        <v>0</v>
      </c>
      <c r="S98" s="393"/>
      <c r="T98" s="394"/>
      <c r="V98" s="395">
        <f>'App 1 - Services'!G98</f>
        <v>36766</v>
      </c>
      <c r="W98" s="396">
        <f>'App 1 - Services'!M98</f>
        <v>27499</v>
      </c>
      <c r="X98" s="397">
        <f>'App 1 - Services'!N98</f>
        <v>25566</v>
      </c>
      <c r="Y98" s="398">
        <f>'App 1 - Services'!O98</f>
        <v>0</v>
      </c>
      <c r="Z98" s="392">
        <f>'App 1 - Services'!P98</f>
        <v>0</v>
      </c>
      <c r="AA98" s="2">
        <v>1</v>
      </c>
      <c r="AB98" s="399">
        <f>'App 1 - Services'!F98</f>
        <v>74506</v>
      </c>
      <c r="AC98" s="396">
        <f t="shared" si="31"/>
        <v>55726.499864004785</v>
      </c>
      <c r="AD98" s="397">
        <f t="shared" si="32"/>
        <v>51809.29108415384</v>
      </c>
      <c r="AE98" s="398">
        <f t="shared" si="33"/>
        <v>0</v>
      </c>
      <c r="AF98" s="392">
        <f t="shared" si="34"/>
        <v>0</v>
      </c>
      <c r="AG98" s="400"/>
      <c r="AH98" s="401">
        <f t="shared" si="24"/>
        <v>0</v>
      </c>
      <c r="AI98" s="401">
        <f t="shared" si="25"/>
        <v>0</v>
      </c>
      <c r="AJ98" s="401">
        <f t="shared" si="26"/>
        <v>0</v>
      </c>
      <c r="AK98" s="393"/>
      <c r="AL98" s="394"/>
    </row>
    <row r="99" spans="1:38" x14ac:dyDescent="0.2">
      <c r="A99" s="8">
        <v>16490</v>
      </c>
      <c r="B99" s="8" t="s">
        <v>153</v>
      </c>
      <c r="C99" s="8" t="s">
        <v>74</v>
      </c>
      <c r="D99" s="29" t="s">
        <v>1</v>
      </c>
      <c r="E99" s="381"/>
      <c r="F99" s="382">
        <f>'App 6 - Residual Waste'!F99</f>
        <v>11291.87</v>
      </c>
      <c r="G99" s="383">
        <f t="shared" si="22"/>
        <v>10.464620796773463</v>
      </c>
      <c r="H99" s="384">
        <f t="shared" si="23"/>
        <v>3.7612038629126818</v>
      </c>
      <c r="I99" s="385"/>
      <c r="J99" s="386"/>
      <c r="K99" s="387">
        <f>'App 4 - Recyclables'!F99</f>
        <v>3852.85</v>
      </c>
      <c r="L99" s="388">
        <f t="shared" si="27"/>
        <v>3.4841187449811546</v>
      </c>
      <c r="M99" s="388">
        <f t="shared" si="28"/>
        <v>1.2522652408494421</v>
      </c>
      <c r="N99" s="381"/>
      <c r="O99" s="389">
        <f>'App 5 - Organics'!F99</f>
        <v>2976</v>
      </c>
      <c r="P99" s="390">
        <f t="shared" si="29"/>
        <v>3.9904315458631454</v>
      </c>
      <c r="Q99" s="391">
        <f t="shared" si="30"/>
        <v>1.4342446646147684</v>
      </c>
      <c r="R99" s="392">
        <f>'App 5 - Organics'!J99</f>
        <v>682</v>
      </c>
      <c r="S99" s="393">
        <f t="shared" si="35"/>
        <v>5.7272421901242865</v>
      </c>
      <c r="T99" s="394">
        <f t="shared" si="36"/>
        <v>2.0584907821957339</v>
      </c>
      <c r="V99" s="395">
        <f>'App 1 - Services'!G99</f>
        <v>22370</v>
      </c>
      <c r="W99" s="396">
        <f>'App 1 - Services'!M99</f>
        <v>20751</v>
      </c>
      <c r="X99" s="397">
        <f>'App 1 - Services'!N99</f>
        <v>21266</v>
      </c>
      <c r="Y99" s="398">
        <f>'App 1 - Services'!O99</f>
        <v>14342</v>
      </c>
      <c r="Z99" s="392">
        <f>'App 1 - Services'!P99</f>
        <v>2290</v>
      </c>
      <c r="AB99" s="399">
        <f>'App 1 - Services'!F99</f>
        <v>62239</v>
      </c>
      <c r="AC99" s="396">
        <f t="shared" si="31"/>
        <v>57734.532364774248</v>
      </c>
      <c r="AD99" s="397">
        <f t="shared" si="32"/>
        <v>59167.392668752793</v>
      </c>
      <c r="AE99" s="398">
        <f t="shared" si="33"/>
        <v>39903.072776039335</v>
      </c>
      <c r="AF99" s="392">
        <f t="shared" si="34"/>
        <v>6371.3594099240054</v>
      </c>
      <c r="AG99" s="400" t="s">
        <v>14</v>
      </c>
      <c r="AH99" s="401">
        <f t="shared" si="24"/>
        <v>16632</v>
      </c>
      <c r="AI99" s="401">
        <f t="shared" si="25"/>
        <v>46274.432185963342</v>
      </c>
      <c r="AJ99" s="401">
        <f t="shared" si="26"/>
        <v>3658</v>
      </c>
      <c r="AK99" s="393">
        <f>(AJ99*1000)/AE99/52</f>
        <v>1.7629257335889861</v>
      </c>
      <c r="AL99" s="394">
        <f>(AJ99*1000)/AF99/52</f>
        <v>11.040996013595301</v>
      </c>
    </row>
    <row r="100" spans="1:38" x14ac:dyDescent="0.2">
      <c r="A100" s="8">
        <v>16550</v>
      </c>
      <c r="B100" s="8" t="s">
        <v>66</v>
      </c>
      <c r="C100" s="8" t="s">
        <v>18</v>
      </c>
      <c r="D100" s="29" t="s">
        <v>3</v>
      </c>
      <c r="E100" s="381"/>
      <c r="F100" s="382">
        <f>'App 6 - Residual Waste'!F100</f>
        <v>25421</v>
      </c>
      <c r="G100" s="383">
        <f t="shared" si="22"/>
        <v>8.3727030317083067</v>
      </c>
      <c r="H100" s="384">
        <f t="shared" si="23"/>
        <v>3.1928952507154964</v>
      </c>
      <c r="I100" s="385"/>
      <c r="J100" s="386"/>
      <c r="K100" s="387">
        <f>'App 4 - Recyclables'!F100</f>
        <v>9900</v>
      </c>
      <c r="L100" s="388">
        <f t="shared" si="27"/>
        <v>3.2090179238237488</v>
      </c>
      <c r="M100" s="388">
        <f t="shared" si="28"/>
        <v>1.2237455514228621</v>
      </c>
      <c r="N100" s="381"/>
      <c r="O100" s="389">
        <f>'App 5 - Organics'!F100</f>
        <v>4899</v>
      </c>
      <c r="P100" s="390">
        <f t="shared" si="29"/>
        <v>1.578294218011433</v>
      </c>
      <c r="Q100" s="391">
        <f t="shared" si="30"/>
        <v>0.60187589286709064</v>
      </c>
      <c r="R100" s="392">
        <f>'App 5 - Organics'!J100</f>
        <v>4345</v>
      </c>
      <c r="S100" s="393">
        <f t="shared" si="35"/>
        <v>1.3998139165665802</v>
      </c>
      <c r="T100" s="394">
        <f t="shared" si="36"/>
        <v>0.53381317707848719</v>
      </c>
      <c r="V100" s="395">
        <f>'App 1 - Services'!G100</f>
        <v>59726</v>
      </c>
      <c r="W100" s="396">
        <f>'App 1 - Services'!M100</f>
        <v>58388</v>
      </c>
      <c r="X100" s="397">
        <f>'App 1 - Services'!N100</f>
        <v>59328</v>
      </c>
      <c r="Y100" s="398">
        <f>'App 1 - Services'!O100</f>
        <v>59692</v>
      </c>
      <c r="Z100" s="392">
        <f>'App 1 - Services'!P100</f>
        <v>59692</v>
      </c>
      <c r="AB100" s="399">
        <f>'App 1 - Services'!F100</f>
        <v>156619</v>
      </c>
      <c r="AC100" s="396">
        <f t="shared" si="31"/>
        <v>153110.37357264844</v>
      </c>
      <c r="AD100" s="397">
        <f t="shared" si="32"/>
        <v>155575.32786391187</v>
      </c>
      <c r="AE100" s="398">
        <f t="shared" si="33"/>
        <v>156529.84207882662</v>
      </c>
      <c r="AF100" s="392">
        <f t="shared" si="34"/>
        <v>156529.84207882662</v>
      </c>
      <c r="AG100" s="400"/>
      <c r="AH100" s="401">
        <f t="shared" si="24"/>
        <v>119384</v>
      </c>
      <c r="AI100" s="401">
        <f t="shared" si="25"/>
        <v>313059.68415765325</v>
      </c>
      <c r="AJ100" s="401">
        <f t="shared" si="26"/>
        <v>9244</v>
      </c>
      <c r="AK100" s="393">
        <f>(AJ100*1000)/AE100/52</f>
        <v>1.1356890699455777</v>
      </c>
      <c r="AL100" s="394"/>
    </row>
    <row r="101" spans="1:38" x14ac:dyDescent="0.2">
      <c r="A101" s="8">
        <v>16610</v>
      </c>
      <c r="B101" s="8" t="s">
        <v>154</v>
      </c>
      <c r="C101" s="8" t="s">
        <v>20</v>
      </c>
      <c r="D101" s="29" t="s">
        <v>4</v>
      </c>
      <c r="E101" s="381"/>
      <c r="F101" s="382">
        <f>'App 6 - Residual Waste'!F101</f>
        <v>3357</v>
      </c>
      <c r="G101" s="383">
        <f t="shared" si="22"/>
        <v>9.010145472113372</v>
      </c>
      <c r="H101" s="384">
        <f t="shared" si="23"/>
        <v>3.8414902896217717</v>
      </c>
      <c r="I101" s="385"/>
      <c r="J101" s="386"/>
      <c r="K101" s="387">
        <f>'App 4 - Recyclables'!F101</f>
        <v>1470</v>
      </c>
      <c r="L101" s="388">
        <f t="shared" si="27"/>
        <v>3.9454613774222986</v>
      </c>
      <c r="M101" s="388">
        <f t="shared" si="28"/>
        <v>1.6821539248567186</v>
      </c>
      <c r="N101" s="381"/>
      <c r="O101" s="389">
        <f>'App 5 - Organics'!F101</f>
        <v>0</v>
      </c>
      <c r="P101" s="390"/>
      <c r="Q101" s="391"/>
      <c r="R101" s="392">
        <f>'App 5 - Organics'!J101</f>
        <v>3316</v>
      </c>
      <c r="S101" s="393">
        <f t="shared" si="35"/>
        <v>8.9001019915185999</v>
      </c>
      <c r="T101" s="394">
        <f t="shared" si="36"/>
        <v>3.7945730713094417</v>
      </c>
      <c r="V101" s="395">
        <f>'App 1 - Services'!G101</f>
        <v>10015</v>
      </c>
      <c r="W101" s="396">
        <f>'App 1 - Services'!M101</f>
        <v>7165</v>
      </c>
      <c r="X101" s="397">
        <f>'App 1 - Services'!N101</f>
        <v>7165</v>
      </c>
      <c r="Y101" s="398">
        <f>'App 1 - Services'!O101</f>
        <v>0</v>
      </c>
      <c r="Z101" s="392">
        <f>'App 1 - Services'!P101</f>
        <v>7165</v>
      </c>
      <c r="AB101" s="399">
        <f>'App 1 - Services'!F101</f>
        <v>23490</v>
      </c>
      <c r="AC101" s="396">
        <f t="shared" si="31"/>
        <v>16805.376934598102</v>
      </c>
      <c r="AD101" s="397">
        <f t="shared" si="32"/>
        <v>16805.376934598102</v>
      </c>
      <c r="AE101" s="398">
        <f t="shared" si="33"/>
        <v>0</v>
      </c>
      <c r="AF101" s="392">
        <f t="shared" si="34"/>
        <v>16805.376934598102</v>
      </c>
      <c r="AG101" s="400" t="s">
        <v>14</v>
      </c>
      <c r="AH101" s="401">
        <f t="shared" si="24"/>
        <v>7165</v>
      </c>
      <c r="AI101" s="401">
        <f t="shared" si="25"/>
        <v>16805.376934598102</v>
      </c>
      <c r="AJ101" s="401">
        <f t="shared" si="26"/>
        <v>3316</v>
      </c>
      <c r="AK101" s="393"/>
      <c r="AL101" s="394">
        <f>(AJ101*1000)/AF101/52</f>
        <v>3.7945730713094417</v>
      </c>
    </row>
    <row r="102" spans="1:38" x14ac:dyDescent="0.2">
      <c r="A102" s="8">
        <v>16700</v>
      </c>
      <c r="B102" s="8" t="s">
        <v>67</v>
      </c>
      <c r="C102" s="8" t="s">
        <v>26</v>
      </c>
      <c r="D102" s="29" t="s">
        <v>3</v>
      </c>
      <c r="E102" s="381"/>
      <c r="F102" s="382">
        <f>'App 6 - Residual Waste'!F102</f>
        <v>26016.74</v>
      </c>
      <c r="G102" s="383">
        <f t="shared" si="22"/>
        <v>14.433473432867617</v>
      </c>
      <c r="H102" s="384">
        <f t="shared" si="23"/>
        <v>5.5804793659819403</v>
      </c>
      <c r="I102" s="385"/>
      <c r="J102" s="386"/>
      <c r="K102" s="387">
        <f>'App 4 - Recyclables'!F102</f>
        <v>8196.98</v>
      </c>
      <c r="L102" s="388">
        <f t="shared" si="27"/>
        <v>4.3805538632549892</v>
      </c>
      <c r="M102" s="388">
        <f t="shared" si="28"/>
        <v>1.6936734292800184</v>
      </c>
      <c r="N102" s="381"/>
      <c r="O102" s="389">
        <f>'App 5 - Organics'!F102</f>
        <v>9983.34</v>
      </c>
      <c r="P102" s="390">
        <f t="shared" si="29"/>
        <v>6.7304928200633718</v>
      </c>
      <c r="Q102" s="391">
        <f t="shared" si="30"/>
        <v>2.6022409976328906</v>
      </c>
      <c r="R102" s="392">
        <f>'App 5 - Organics'!J102</f>
        <v>0</v>
      </c>
      <c r="S102" s="393"/>
      <c r="T102" s="394"/>
      <c r="V102" s="395">
        <f>'App 1 - Services'!G102</f>
        <v>51509</v>
      </c>
      <c r="W102" s="396">
        <f>'App 1 - Services'!M102</f>
        <v>34664</v>
      </c>
      <c r="X102" s="397">
        <f>'App 1 - Services'!N102</f>
        <v>35985</v>
      </c>
      <c r="Y102" s="398">
        <f>'App 1 - Services'!O102</f>
        <v>28525</v>
      </c>
      <c r="Z102" s="392">
        <f>'App 1 - Services'!P102</f>
        <v>0</v>
      </c>
      <c r="AB102" s="399">
        <f>'App 1 - Services'!F102</f>
        <v>133224</v>
      </c>
      <c r="AC102" s="396">
        <f t="shared" si="31"/>
        <v>89655.724941272405</v>
      </c>
      <c r="AD102" s="397">
        <f t="shared" si="32"/>
        <v>93072.388126346865</v>
      </c>
      <c r="AE102" s="398">
        <f t="shared" si="33"/>
        <v>73777.681570211033</v>
      </c>
      <c r="AF102" s="392">
        <f t="shared" si="34"/>
        <v>0</v>
      </c>
      <c r="AG102" s="400"/>
      <c r="AH102" s="401">
        <f t="shared" si="24"/>
        <v>28525</v>
      </c>
      <c r="AI102" s="401">
        <f t="shared" si="25"/>
        <v>73777.681570211033</v>
      </c>
      <c r="AJ102" s="401">
        <f t="shared" si="26"/>
        <v>9983.34</v>
      </c>
      <c r="AK102" s="393">
        <f>(AJ102*1000)/AE102/52</f>
        <v>2.6022409976328906</v>
      </c>
      <c r="AL102" s="394"/>
    </row>
    <row r="103" spans="1:38" x14ac:dyDescent="0.2">
      <c r="A103" s="8">
        <v>16900</v>
      </c>
      <c r="B103" s="8" t="s">
        <v>155</v>
      </c>
      <c r="C103" s="8" t="s">
        <v>41</v>
      </c>
      <c r="D103" s="29" t="s">
        <v>2</v>
      </c>
      <c r="E103" s="381"/>
      <c r="F103" s="382">
        <f>'App 6 - Residual Waste'!F103</f>
        <v>13907</v>
      </c>
      <c r="G103" s="383">
        <f t="shared" si="22"/>
        <v>9.4199678663064947</v>
      </c>
      <c r="H103" s="384">
        <f t="shared" si="23"/>
        <v>3.7598070666837211</v>
      </c>
      <c r="I103" s="385"/>
      <c r="J103" s="386"/>
      <c r="K103" s="387">
        <f>'App 4 - Recyclables'!F103</f>
        <v>5609</v>
      </c>
      <c r="L103" s="388">
        <f t="shared" si="27"/>
        <v>3.7687496808422005</v>
      </c>
      <c r="M103" s="388">
        <f t="shared" si="28"/>
        <v>1.5042271782343555</v>
      </c>
      <c r="N103" s="381"/>
      <c r="O103" s="389">
        <f>'App 5 - Organics'!F103</f>
        <v>0</v>
      </c>
      <c r="P103" s="390"/>
      <c r="Q103" s="391"/>
      <c r="R103" s="392">
        <f>'App 5 - Organics'!J103</f>
        <v>13117</v>
      </c>
      <c r="S103" s="393">
        <f t="shared" si="35"/>
        <v>8.8134586492435627</v>
      </c>
      <c r="T103" s="394">
        <f t="shared" si="36"/>
        <v>3.5177300582813413</v>
      </c>
      <c r="V103" s="395">
        <f>'App 1 - Services'!G103</f>
        <v>29784</v>
      </c>
      <c r="W103" s="396">
        <f>'App 1 - Services'!M103</f>
        <v>28391</v>
      </c>
      <c r="X103" s="397">
        <f>'App 1 - Services'!N103</f>
        <v>28621</v>
      </c>
      <c r="Y103" s="398">
        <f>'App 1 - Services'!O103</f>
        <v>0</v>
      </c>
      <c r="Z103" s="392">
        <f>'App 1 - Services'!P103</f>
        <v>28621</v>
      </c>
      <c r="AB103" s="399">
        <f>'App 1 - Services'!F103</f>
        <v>74622</v>
      </c>
      <c r="AC103" s="396">
        <f t="shared" si="31"/>
        <v>71131.923247381143</v>
      </c>
      <c r="AD103" s="397">
        <f t="shared" si="32"/>
        <v>71708.17425463337</v>
      </c>
      <c r="AE103" s="398">
        <f t="shared" si="33"/>
        <v>0</v>
      </c>
      <c r="AF103" s="392">
        <f t="shared" si="34"/>
        <v>71708.17425463337</v>
      </c>
      <c r="AG103" s="400" t="s">
        <v>14</v>
      </c>
      <c r="AH103" s="401">
        <f t="shared" si="24"/>
        <v>28621</v>
      </c>
      <c r="AI103" s="401">
        <f t="shared" si="25"/>
        <v>71708.17425463337</v>
      </c>
      <c r="AJ103" s="401">
        <f t="shared" si="26"/>
        <v>13117</v>
      </c>
      <c r="AK103" s="406"/>
      <c r="AL103" s="394">
        <f>(AJ103*1000)/AF103/52</f>
        <v>3.5177300582813413</v>
      </c>
    </row>
    <row r="104" spans="1:38" x14ac:dyDescent="0.2">
      <c r="A104" s="8">
        <v>16950</v>
      </c>
      <c r="B104" s="8" t="s">
        <v>156</v>
      </c>
      <c r="C104" s="8" t="s">
        <v>41</v>
      </c>
      <c r="D104" s="29" t="s">
        <v>2</v>
      </c>
      <c r="E104" s="381"/>
      <c r="F104" s="382">
        <f>'App 6 - Residual Waste'!F104</f>
        <v>30228</v>
      </c>
      <c r="G104" s="383">
        <f t="shared" si="22"/>
        <v>11.257798673555122</v>
      </c>
      <c r="H104" s="384">
        <f t="shared" si="23"/>
        <v>6.0271038844614546</v>
      </c>
      <c r="I104" s="385"/>
      <c r="J104" s="386"/>
      <c r="K104" s="387">
        <f>'App 4 - Recyclables'!F104</f>
        <v>10927</v>
      </c>
      <c r="L104" s="388">
        <f t="shared" si="27"/>
        <v>3.9713980833197646</v>
      </c>
      <c r="M104" s="388">
        <f t="shared" si="28"/>
        <v>2.1261731097524175</v>
      </c>
      <c r="N104" s="381"/>
      <c r="O104" s="389">
        <f>'App 5 - Organics'!F104</f>
        <v>0</v>
      </c>
      <c r="P104" s="390"/>
      <c r="Q104" s="391"/>
      <c r="R104" s="392">
        <f>'App 5 - Organics'!J104</f>
        <v>0</v>
      </c>
      <c r="S104" s="393"/>
      <c r="T104" s="394"/>
      <c r="V104" s="395">
        <f>'App 1 - Services'!G104</f>
        <v>57387</v>
      </c>
      <c r="W104" s="396">
        <f>'App 1 - Services'!M104</f>
        <v>51636</v>
      </c>
      <c r="X104" s="397">
        <f>'App 1 - Services'!N104</f>
        <v>52912</v>
      </c>
      <c r="Y104" s="398">
        <f>'App 1 - Services'!O104</f>
        <v>0</v>
      </c>
      <c r="Z104" s="392">
        <f>'App 1 - Services'!P104</f>
        <v>0</v>
      </c>
      <c r="AA104" s="2">
        <v>1</v>
      </c>
      <c r="AB104" s="399">
        <f>'App 1 - Services'!F104</f>
        <v>107191</v>
      </c>
      <c r="AC104" s="396">
        <f t="shared" si="31"/>
        <v>96448.925296669986</v>
      </c>
      <c r="AD104" s="397">
        <f t="shared" si="32"/>
        <v>98832.317284402379</v>
      </c>
      <c r="AE104" s="398">
        <f t="shared" si="33"/>
        <v>0</v>
      </c>
      <c r="AF104" s="392">
        <f t="shared" si="34"/>
        <v>0</v>
      </c>
      <c r="AG104" s="400"/>
      <c r="AH104" s="401">
        <f t="shared" si="24"/>
        <v>0</v>
      </c>
      <c r="AI104" s="401">
        <f t="shared" si="25"/>
        <v>0</v>
      </c>
      <c r="AJ104" s="401">
        <f t="shared" si="26"/>
        <v>0</v>
      </c>
      <c r="AK104" s="393"/>
      <c r="AL104" s="394"/>
    </row>
    <row r="105" spans="1:38" x14ac:dyDescent="0.2">
      <c r="A105" s="8">
        <v>17000</v>
      </c>
      <c r="B105" s="8" t="s">
        <v>157</v>
      </c>
      <c r="C105" s="8" t="s">
        <v>25</v>
      </c>
      <c r="D105" s="29" t="s">
        <v>4</v>
      </c>
      <c r="E105" s="402"/>
      <c r="F105" s="382">
        <f>'App 6 - Residual Waste'!F105</f>
        <v>6149.1</v>
      </c>
      <c r="G105" s="383">
        <f t="shared" si="22"/>
        <v>13.440773252662318</v>
      </c>
      <c r="H105" s="384">
        <f t="shared" si="23"/>
        <v>6.4352444734945253</v>
      </c>
      <c r="I105" s="385"/>
      <c r="J105" s="386"/>
      <c r="K105" s="387">
        <f>'App 4 - Recyclables'!F105</f>
        <v>1424.65</v>
      </c>
      <c r="L105" s="388">
        <f t="shared" si="27"/>
        <v>3.0765991448192458</v>
      </c>
      <c r="M105" s="388">
        <f t="shared" si="28"/>
        <v>1.4730304032124311</v>
      </c>
      <c r="N105" s="381"/>
      <c r="O105" s="389">
        <f>'App 5 - Organics'!F105</f>
        <v>2202.81</v>
      </c>
      <c r="P105" s="390">
        <f t="shared" si="29"/>
        <v>6.3169893780540969</v>
      </c>
      <c r="Q105" s="391">
        <f t="shared" si="30"/>
        <v>3.0244815696294931</v>
      </c>
      <c r="R105" s="392">
        <f>'App 5 - Organics'!J105</f>
        <v>0</v>
      </c>
      <c r="S105" s="393"/>
      <c r="T105" s="394"/>
      <c r="V105" s="395">
        <f>'App 1 - Services'!G105</f>
        <v>11194</v>
      </c>
      <c r="W105" s="396">
        <f>'App 1 - Services'!M105</f>
        <v>8798</v>
      </c>
      <c r="X105" s="397">
        <f>'App 1 - Services'!N105</f>
        <v>8905</v>
      </c>
      <c r="Y105" s="398">
        <f>'App 1 - Services'!O105</f>
        <v>6706</v>
      </c>
      <c r="Z105" s="392">
        <f>'App 1 - Services'!P105</f>
        <v>0</v>
      </c>
      <c r="AB105" s="399">
        <f>'App 1 - Services'!F105</f>
        <v>23380</v>
      </c>
      <c r="AC105" s="396">
        <f t="shared" si="31"/>
        <v>18375.669108450955</v>
      </c>
      <c r="AD105" s="397">
        <f t="shared" si="32"/>
        <v>18599.151331070218</v>
      </c>
      <c r="AE105" s="398">
        <f t="shared" si="33"/>
        <v>14006.27836340897</v>
      </c>
      <c r="AF105" s="392">
        <f t="shared" si="34"/>
        <v>0</v>
      </c>
      <c r="AG105" s="400"/>
      <c r="AH105" s="401">
        <f t="shared" si="24"/>
        <v>6706</v>
      </c>
      <c r="AI105" s="401">
        <f t="shared" si="25"/>
        <v>14006.27836340897</v>
      </c>
      <c r="AJ105" s="401">
        <f t="shared" si="26"/>
        <v>2202.81</v>
      </c>
      <c r="AK105" s="393">
        <f>(AJ105*1000)/AE105/52</f>
        <v>3.0244815696294931</v>
      </c>
      <c r="AL105" s="394"/>
    </row>
    <row r="106" spans="1:38" x14ac:dyDescent="0.2">
      <c r="A106" s="8">
        <v>17040</v>
      </c>
      <c r="B106" s="8" t="s">
        <v>158</v>
      </c>
      <c r="C106" s="8" t="s">
        <v>74</v>
      </c>
      <c r="D106" s="29" t="s">
        <v>1</v>
      </c>
      <c r="E106" s="402"/>
      <c r="F106" s="382">
        <f>'App 6 - Residual Waste'!F106</f>
        <v>3576.77</v>
      </c>
      <c r="G106" s="383">
        <f t="shared" si="22"/>
        <v>8.7914159587855902</v>
      </c>
      <c r="H106" s="384">
        <f t="shared" si="23"/>
        <v>4.3988482194123639</v>
      </c>
      <c r="I106" s="385"/>
      <c r="J106" s="386"/>
      <c r="K106" s="387">
        <f>'App 4 - Recyclables'!F106</f>
        <v>1358.71</v>
      </c>
      <c r="L106" s="388">
        <f t="shared" si="27"/>
        <v>3.4945885330397837</v>
      </c>
      <c r="M106" s="388">
        <f t="shared" si="28"/>
        <v>1.748542512173928</v>
      </c>
      <c r="N106" s="381"/>
      <c r="O106" s="389">
        <f>'App 5 - Organics'!F106</f>
        <v>0</v>
      </c>
      <c r="P106" s="390"/>
      <c r="Q106" s="391"/>
      <c r="R106" s="392">
        <f>'App 5 - Organics'!J106</f>
        <v>473.38</v>
      </c>
      <c r="S106" s="393">
        <f t="shared" si="35"/>
        <v>3.2923911531506467</v>
      </c>
      <c r="T106" s="394">
        <f t="shared" si="36"/>
        <v>1.6473715985617323</v>
      </c>
      <c r="V106" s="395">
        <f>'App 1 - Services'!G106</f>
        <v>10506</v>
      </c>
      <c r="W106" s="396">
        <f>'App 1 - Services'!M106</f>
        <v>7824</v>
      </c>
      <c r="X106" s="397">
        <f>'App 1 - Services'!N106</f>
        <v>7477</v>
      </c>
      <c r="Y106" s="398">
        <f>'App 1 - Services'!O106</f>
        <v>0</v>
      </c>
      <c r="Z106" s="392">
        <f>'App 1 - Services'!P106</f>
        <v>2765</v>
      </c>
      <c r="AB106" s="399">
        <f>'App 1 - Services'!F106</f>
        <v>20997</v>
      </c>
      <c r="AC106" s="396">
        <f t="shared" si="31"/>
        <v>15636.829240434039</v>
      </c>
      <c r="AD106" s="397">
        <f t="shared" si="32"/>
        <v>14943.324671616219</v>
      </c>
      <c r="AE106" s="398">
        <f t="shared" si="33"/>
        <v>0</v>
      </c>
      <c r="AF106" s="392">
        <f t="shared" si="34"/>
        <v>5526.0522558537978</v>
      </c>
      <c r="AG106" s="400" t="s">
        <v>14</v>
      </c>
      <c r="AH106" s="401">
        <f t="shared" si="24"/>
        <v>2765</v>
      </c>
      <c r="AI106" s="401">
        <f t="shared" si="25"/>
        <v>5526.0522558537978</v>
      </c>
      <c r="AJ106" s="401">
        <f t="shared" si="26"/>
        <v>473.38</v>
      </c>
      <c r="AK106" s="393"/>
      <c r="AL106" s="394">
        <f>(AJ106*1000)/AF106/52</f>
        <v>1.6473715985617323</v>
      </c>
    </row>
    <row r="107" spans="1:38" x14ac:dyDescent="0.2">
      <c r="A107" s="8">
        <v>17080</v>
      </c>
      <c r="B107" s="8" t="s">
        <v>159</v>
      </c>
      <c r="C107" s="8" t="s">
        <v>74</v>
      </c>
      <c r="D107" s="29" t="s">
        <v>1</v>
      </c>
      <c r="E107" s="381"/>
      <c r="F107" s="382">
        <f>'App 6 - Residual Waste'!F107</f>
        <v>4963</v>
      </c>
      <c r="G107" s="383">
        <f t="shared" si="22"/>
        <v>16.040723981900452</v>
      </c>
      <c r="H107" s="384">
        <f t="shared" si="23"/>
        <v>7.267966111699276</v>
      </c>
      <c r="I107" s="385"/>
      <c r="J107" s="386"/>
      <c r="K107" s="387">
        <f>'App 4 - Recyclables'!F107</f>
        <v>5294</v>
      </c>
      <c r="L107" s="388">
        <f t="shared" si="27"/>
        <v>17.798547606239914</v>
      </c>
      <c r="M107" s="388">
        <f t="shared" si="28"/>
        <v>8.0644265798464225</v>
      </c>
      <c r="N107" s="381"/>
      <c r="O107" s="389">
        <f>'App 5 - Organics'!F107</f>
        <v>0</v>
      </c>
      <c r="P107" s="390"/>
      <c r="Q107" s="391"/>
      <c r="R107" s="392">
        <f>'App 5 - Organics'!J107</f>
        <v>0</v>
      </c>
      <c r="S107" s="393"/>
      <c r="T107" s="394"/>
      <c r="V107" s="395">
        <f>'App 1 - Services'!G107</f>
        <v>6530</v>
      </c>
      <c r="W107" s="396">
        <f>'App 1 - Services'!M107</f>
        <v>5950</v>
      </c>
      <c r="X107" s="397">
        <f>'App 1 - Services'!N107</f>
        <v>5720</v>
      </c>
      <c r="Y107" s="398">
        <f>'App 1 - Services'!O107</f>
        <v>0</v>
      </c>
      <c r="Z107" s="392">
        <f>'App 1 - Services'!P107</f>
        <v>0</v>
      </c>
      <c r="AA107" s="2">
        <v>1</v>
      </c>
      <c r="AB107" s="399">
        <f>'App 1 - Services'!F107</f>
        <v>14412</v>
      </c>
      <c r="AC107" s="396">
        <f t="shared" si="31"/>
        <v>13131.914241960183</v>
      </c>
      <c r="AD107" s="397">
        <f t="shared" si="32"/>
        <v>12624.294027565085</v>
      </c>
      <c r="AE107" s="398">
        <f t="shared" si="33"/>
        <v>0</v>
      </c>
      <c r="AF107" s="392">
        <f t="shared" si="34"/>
        <v>0</v>
      </c>
      <c r="AG107" s="400"/>
      <c r="AH107" s="401">
        <f t="shared" si="24"/>
        <v>0</v>
      </c>
      <c r="AI107" s="401">
        <f t="shared" si="25"/>
        <v>0</v>
      </c>
      <c r="AJ107" s="401">
        <f t="shared" si="26"/>
        <v>0</v>
      </c>
      <c r="AK107" s="393"/>
      <c r="AL107" s="394"/>
    </row>
    <row r="108" spans="1:38" x14ac:dyDescent="0.2">
      <c r="A108" s="8">
        <v>17100</v>
      </c>
      <c r="B108" s="8" t="s">
        <v>160</v>
      </c>
      <c r="C108" s="8"/>
      <c r="D108" s="29" t="s">
        <v>3</v>
      </c>
      <c r="E108" s="381"/>
      <c r="F108" s="382">
        <f>'App 6 - Residual Waste'!F108</f>
        <v>10395</v>
      </c>
      <c r="G108" s="383">
        <f t="shared" si="22"/>
        <v>12.453516456132952</v>
      </c>
      <c r="H108" s="384">
        <f t="shared" si="23"/>
        <v>4.2626707571707199</v>
      </c>
      <c r="I108" s="385"/>
      <c r="J108" s="386"/>
      <c r="K108" s="387">
        <f>'App 4 - Recyclables'!F108</f>
        <v>2163.6999999999998</v>
      </c>
      <c r="L108" s="388">
        <f t="shared" si="27"/>
        <v>2.5921763882765627</v>
      </c>
      <c r="M108" s="388">
        <f t="shared" si="28"/>
        <v>0.88726702427034998</v>
      </c>
      <c r="N108" s="381"/>
      <c r="O108" s="389">
        <f>'App 5 - Organics'!F108</f>
        <v>2451.2600000000002</v>
      </c>
      <c r="P108" s="390">
        <f t="shared" si="29"/>
        <v>7.1542897836720876</v>
      </c>
      <c r="Q108" s="391">
        <f t="shared" si="30"/>
        <v>2.4488169230439136</v>
      </c>
      <c r="R108" s="392">
        <f>'App 5 - Organics'!J108</f>
        <v>0</v>
      </c>
      <c r="S108" s="393"/>
      <c r="T108" s="394"/>
      <c r="V108" s="395">
        <f>'App 1 - Services'!G108</f>
        <v>16350</v>
      </c>
      <c r="W108" s="396">
        <f>'App 1 - Services'!M108</f>
        <v>16052</v>
      </c>
      <c r="X108" s="397">
        <f>'App 1 - Services'!N108</f>
        <v>16052</v>
      </c>
      <c r="Y108" s="398">
        <f>'App 1 - Services'!O108</f>
        <v>6589</v>
      </c>
      <c r="Z108" s="392">
        <f>'App 1 - Services'!P108</f>
        <v>0</v>
      </c>
      <c r="AB108" s="399">
        <f>'App 1 - Services'!F108</f>
        <v>47767</v>
      </c>
      <c r="AC108" s="396">
        <f t="shared" si="31"/>
        <v>46896.384342507641</v>
      </c>
      <c r="AD108" s="397">
        <f t="shared" si="32"/>
        <v>46896.384342507641</v>
      </c>
      <c r="AE108" s="398">
        <f t="shared" si="33"/>
        <v>19249.954923547401</v>
      </c>
      <c r="AF108" s="392">
        <f t="shared" si="34"/>
        <v>0</v>
      </c>
      <c r="AG108" s="400"/>
      <c r="AH108" s="401">
        <f t="shared" si="24"/>
        <v>6589</v>
      </c>
      <c r="AI108" s="401">
        <f t="shared" si="25"/>
        <v>19249.954923547401</v>
      </c>
      <c r="AJ108" s="401">
        <f t="shared" si="26"/>
        <v>2451.2600000000002</v>
      </c>
      <c r="AK108" s="393">
        <f>(AJ108*1000)/AE108/52</f>
        <v>2.4488169230439136</v>
      </c>
      <c r="AL108" s="394"/>
    </row>
    <row r="109" spans="1:38" x14ac:dyDescent="0.2">
      <c r="A109" s="8">
        <v>17150</v>
      </c>
      <c r="B109" s="8" t="s">
        <v>161</v>
      </c>
      <c r="C109" s="8" t="s">
        <v>18</v>
      </c>
      <c r="D109" s="29" t="s">
        <v>3</v>
      </c>
      <c r="E109" s="381"/>
      <c r="F109" s="382">
        <f>'App 6 - Residual Waste'!F109</f>
        <v>52524</v>
      </c>
      <c r="G109" s="383">
        <f t="shared" si="22"/>
        <v>11.590096650337614</v>
      </c>
      <c r="H109" s="384">
        <f t="shared" si="23"/>
        <v>4.3836760256526137</v>
      </c>
      <c r="I109" s="385"/>
      <c r="J109" s="386"/>
      <c r="K109" s="387">
        <f>'App 4 - Recyclables'!F109</f>
        <v>19800</v>
      </c>
      <c r="L109" s="388">
        <f t="shared" si="27"/>
        <v>4.4677590262270988</v>
      </c>
      <c r="M109" s="388">
        <f t="shared" si="28"/>
        <v>1.6898226755593357</v>
      </c>
      <c r="N109" s="381"/>
      <c r="O109" s="389">
        <f>'App 5 - Organics'!F109</f>
        <v>30978</v>
      </c>
      <c r="P109" s="390">
        <f t="shared" si="29"/>
        <v>6.9900120764880347</v>
      </c>
      <c r="Q109" s="391">
        <f t="shared" si="30"/>
        <v>2.6438043860341973</v>
      </c>
      <c r="R109" s="392">
        <f>'App 5 - Organics'!J109</f>
        <v>0</v>
      </c>
      <c r="S109" s="393"/>
      <c r="T109" s="394"/>
      <c r="V109" s="395">
        <f>'App 1 - Services'!G109</f>
        <v>87888</v>
      </c>
      <c r="W109" s="396">
        <f>'App 1 - Services'!M109</f>
        <v>87150</v>
      </c>
      <c r="X109" s="397">
        <f>'App 1 - Services'!N109</f>
        <v>85226</v>
      </c>
      <c r="Y109" s="398">
        <f>'App 1 - Services'!O109</f>
        <v>85226</v>
      </c>
      <c r="Z109" s="392">
        <f>'App 1 - Services'!P109</f>
        <v>0</v>
      </c>
      <c r="AB109" s="399">
        <f>'App 1 - Services'!F109</f>
        <v>232369</v>
      </c>
      <c r="AC109" s="396">
        <f t="shared" si="31"/>
        <v>230417.78570453305</v>
      </c>
      <c r="AD109" s="397">
        <f t="shared" si="32"/>
        <v>225330.88014290915</v>
      </c>
      <c r="AE109" s="398">
        <f t="shared" si="33"/>
        <v>225330.88014290915</v>
      </c>
      <c r="AF109" s="392">
        <f t="shared" si="34"/>
        <v>0</v>
      </c>
      <c r="AG109" s="400"/>
      <c r="AH109" s="401">
        <f t="shared" si="24"/>
        <v>85226</v>
      </c>
      <c r="AI109" s="401">
        <f t="shared" si="25"/>
        <v>225330.88014290915</v>
      </c>
      <c r="AJ109" s="401">
        <f t="shared" si="26"/>
        <v>30978</v>
      </c>
      <c r="AK109" s="393">
        <f>(AJ109*1000)/AE109/52</f>
        <v>2.6438043860341973</v>
      </c>
      <c r="AL109" s="394"/>
    </row>
    <row r="110" spans="1:38" x14ac:dyDescent="0.2">
      <c r="A110" s="8">
        <v>17200</v>
      </c>
      <c r="B110" s="8" t="s">
        <v>68</v>
      </c>
      <c r="C110" s="8" t="s">
        <v>18</v>
      </c>
      <c r="D110" s="29" t="s">
        <v>3</v>
      </c>
      <c r="E110" s="381"/>
      <c r="F110" s="382">
        <f>'App 6 - Residual Waste'!F110</f>
        <v>44582</v>
      </c>
      <c r="G110" s="383">
        <f t="shared" si="22"/>
        <v>22.83881173835621</v>
      </c>
      <c r="H110" s="384">
        <f t="shared" si="23"/>
        <v>12.024955381168569</v>
      </c>
      <c r="I110" s="385"/>
      <c r="J110" s="386"/>
      <c r="K110" s="387">
        <f>'App 4 - Recyclables'!F110</f>
        <v>14210</v>
      </c>
      <c r="L110" s="388">
        <f t="shared" si="27"/>
        <v>6.8067160876088062</v>
      </c>
      <c r="M110" s="388">
        <f t="shared" si="28"/>
        <v>3.5838316889453568</v>
      </c>
      <c r="N110" s="381"/>
      <c r="O110" s="389">
        <f>'App 5 - Organics'!F110</f>
        <v>1680</v>
      </c>
      <c r="P110" s="390">
        <f t="shared" si="29"/>
        <v>3.9719316827750566</v>
      </c>
      <c r="Q110" s="391">
        <f t="shared" si="30"/>
        <v>2.0912778567286994</v>
      </c>
      <c r="R110" s="392">
        <f>'App 5 - Organics'!J110</f>
        <v>0</v>
      </c>
      <c r="S110" s="393"/>
      <c r="T110" s="394"/>
      <c r="V110" s="395">
        <f>'App 1 - Services'!G110</f>
        <v>130963</v>
      </c>
      <c r="W110" s="396">
        <f>'App 1 - Services'!M110</f>
        <v>37539</v>
      </c>
      <c r="X110" s="397">
        <f>'App 1 - Services'!N110</f>
        <v>40147</v>
      </c>
      <c r="Y110" s="398">
        <f>'App 1 - Services'!O110</f>
        <v>8134</v>
      </c>
      <c r="Z110" s="392">
        <f>'App 1 - Services'!P110</f>
        <v>0</v>
      </c>
      <c r="AB110" s="399">
        <f>'App 1 - Services'!F110</f>
        <v>248736</v>
      </c>
      <c r="AC110" s="396">
        <f t="shared" si="31"/>
        <v>71297.241999648744</v>
      </c>
      <c r="AD110" s="397">
        <f t="shared" si="32"/>
        <v>76250.576055832556</v>
      </c>
      <c r="AE110" s="398">
        <f t="shared" si="33"/>
        <v>15448.780373082473</v>
      </c>
      <c r="AF110" s="392">
        <f t="shared" si="34"/>
        <v>0</v>
      </c>
      <c r="AG110" s="400"/>
      <c r="AH110" s="401">
        <f t="shared" si="24"/>
        <v>8134</v>
      </c>
      <c r="AI110" s="401">
        <f t="shared" si="25"/>
        <v>15448.780373082473</v>
      </c>
      <c r="AJ110" s="401">
        <f t="shared" si="26"/>
        <v>1680</v>
      </c>
      <c r="AK110" s="393">
        <f>(AJ110*1000)/AE110/52</f>
        <v>2.0912778567286994</v>
      </c>
      <c r="AL110" s="394"/>
    </row>
    <row r="111" spans="1:38" x14ac:dyDescent="0.2">
      <c r="A111" s="8">
        <v>17310</v>
      </c>
      <c r="B111" s="8" t="s">
        <v>162</v>
      </c>
      <c r="C111" s="8" t="s">
        <v>17</v>
      </c>
      <c r="D111" s="29" t="s">
        <v>1</v>
      </c>
      <c r="E111" s="381"/>
      <c r="F111" s="382">
        <f>'App 6 - Residual Waste'!F111</f>
        <v>15721.3</v>
      </c>
      <c r="G111" s="383">
        <f t="shared" si="22"/>
        <v>10.766066957755584</v>
      </c>
      <c r="H111" s="384">
        <f t="shared" si="23"/>
        <v>4.8338427101717532</v>
      </c>
      <c r="I111" s="385"/>
      <c r="J111" s="386"/>
      <c r="K111" s="387">
        <f>'App 4 - Recyclables'!F111</f>
        <v>3658.9</v>
      </c>
      <c r="L111" s="388">
        <f t="shared" si="27"/>
        <v>2.8057844141662631</v>
      </c>
      <c r="M111" s="388">
        <f t="shared" si="28"/>
        <v>1.2597655754835237</v>
      </c>
      <c r="N111" s="381"/>
      <c r="O111" s="389">
        <f>'App 5 - Organics'!F111</f>
        <v>4913.5</v>
      </c>
      <c r="P111" s="390">
        <f t="shared" si="29"/>
        <v>4.7575844426456175</v>
      </c>
      <c r="Q111" s="391">
        <f t="shared" si="30"/>
        <v>2.136101787806767</v>
      </c>
      <c r="R111" s="392">
        <f>'App 5 - Organics'!J111</f>
        <v>0</v>
      </c>
      <c r="S111" s="393"/>
      <c r="T111" s="394"/>
      <c r="V111" s="395">
        <f>'App 1 - Services'!G111</f>
        <v>28082</v>
      </c>
      <c r="W111" s="396">
        <f>'App 1 - Services'!M111</f>
        <v>28082</v>
      </c>
      <c r="X111" s="397">
        <f>'App 1 - Services'!N111</f>
        <v>25078</v>
      </c>
      <c r="Y111" s="398">
        <f>'App 1 - Services'!O111</f>
        <v>19861</v>
      </c>
      <c r="Z111" s="392">
        <f>'App 1 - Services'!P111</f>
        <v>0</v>
      </c>
      <c r="AB111" s="399">
        <f>'App 1 - Services'!F111</f>
        <v>62545</v>
      </c>
      <c r="AC111" s="396">
        <f t="shared" si="31"/>
        <v>62545</v>
      </c>
      <c r="AD111" s="397">
        <f t="shared" si="32"/>
        <v>55854.408874011824</v>
      </c>
      <c r="AE111" s="398">
        <f t="shared" si="33"/>
        <v>44234.963499750731</v>
      </c>
      <c r="AF111" s="392">
        <f t="shared" si="34"/>
        <v>0</v>
      </c>
      <c r="AG111" s="400"/>
      <c r="AH111" s="401">
        <f t="shared" si="24"/>
        <v>19861</v>
      </c>
      <c r="AI111" s="401">
        <f t="shared" si="25"/>
        <v>44234.963499750731</v>
      </c>
      <c r="AJ111" s="401">
        <f t="shared" si="26"/>
        <v>4913.5</v>
      </c>
      <c r="AK111" s="393">
        <f>(AJ111*1000)/AE111/52</f>
        <v>2.136101787806767</v>
      </c>
      <c r="AL111" s="394"/>
    </row>
    <row r="112" spans="1:38" x14ac:dyDescent="0.2">
      <c r="A112" s="8">
        <v>17350</v>
      </c>
      <c r="B112" s="8" t="s">
        <v>163</v>
      </c>
      <c r="C112" s="8" t="s">
        <v>22</v>
      </c>
      <c r="D112" s="29" t="s">
        <v>1</v>
      </c>
      <c r="E112" s="402"/>
      <c r="F112" s="382">
        <f>'App 6 - Residual Waste'!F112</f>
        <v>2188</v>
      </c>
      <c r="G112" s="383">
        <f t="shared" si="22"/>
        <v>17.15325033710684</v>
      </c>
      <c r="H112" s="384">
        <f t="shared" si="23"/>
        <v>10.463099942637532</v>
      </c>
      <c r="I112" s="385"/>
      <c r="J112" s="386"/>
      <c r="K112" s="387">
        <f>'App 4 - Recyclables'!F112</f>
        <v>0</v>
      </c>
      <c r="L112" s="388"/>
      <c r="M112" s="388"/>
      <c r="N112" s="381"/>
      <c r="O112" s="389">
        <f>'App 5 - Organics'!F112</f>
        <v>0</v>
      </c>
      <c r="P112" s="390"/>
      <c r="Q112" s="391"/>
      <c r="R112" s="392">
        <f>'App 5 - Organics'!J112</f>
        <v>0</v>
      </c>
      <c r="S112" s="393"/>
      <c r="T112" s="394"/>
      <c r="V112" s="395">
        <f>'App 1 - Services'!G112</f>
        <v>3827</v>
      </c>
      <c r="W112" s="396">
        <f>'App 1 - Services'!M112</f>
        <v>2453</v>
      </c>
      <c r="X112" s="397">
        <f>'App 1 - Services'!N112</f>
        <v>0</v>
      </c>
      <c r="Y112" s="398">
        <f>'App 1 - Services'!O112</f>
        <v>0</v>
      </c>
      <c r="Z112" s="392">
        <f>'App 1 - Services'!P112</f>
        <v>0</v>
      </c>
      <c r="AA112" s="2">
        <v>1</v>
      </c>
      <c r="AB112" s="399">
        <f>'App 1 - Services'!F112</f>
        <v>6274</v>
      </c>
      <c r="AC112" s="396">
        <f t="shared" si="31"/>
        <v>4021.4585837470604</v>
      </c>
      <c r="AD112" s="397">
        <f t="shared" si="32"/>
        <v>0</v>
      </c>
      <c r="AE112" s="398">
        <f t="shared" si="33"/>
        <v>0</v>
      </c>
      <c r="AF112" s="392">
        <f t="shared" si="34"/>
        <v>0</v>
      </c>
      <c r="AG112" s="400"/>
      <c r="AH112" s="401">
        <f t="shared" si="24"/>
        <v>0</v>
      </c>
      <c r="AI112" s="401">
        <f t="shared" si="25"/>
        <v>0</v>
      </c>
      <c r="AJ112" s="401">
        <f t="shared" si="26"/>
        <v>0</v>
      </c>
      <c r="AK112" s="393"/>
      <c r="AL112" s="394"/>
    </row>
    <row r="113" spans="1:38" x14ac:dyDescent="0.2">
      <c r="A113" s="8">
        <v>17400</v>
      </c>
      <c r="B113" s="8" t="s">
        <v>164</v>
      </c>
      <c r="C113" s="8" t="s">
        <v>17</v>
      </c>
      <c r="D113" s="29" t="s">
        <v>1</v>
      </c>
      <c r="E113" s="381"/>
      <c r="F113" s="382">
        <f>'App 6 - Residual Waste'!F113</f>
        <v>1090.7</v>
      </c>
      <c r="G113" s="383">
        <f t="shared" si="22"/>
        <v>9.0643906655142601</v>
      </c>
      <c r="H113" s="384">
        <f t="shared" si="23"/>
        <v>6.9110725120528356</v>
      </c>
      <c r="I113" s="385"/>
      <c r="J113" s="386"/>
      <c r="K113" s="387">
        <f>'App 4 - Recyclables'!F113</f>
        <v>378</v>
      </c>
      <c r="L113" s="388">
        <f t="shared" si="27"/>
        <v>4.1777188328912462</v>
      </c>
      <c r="M113" s="388">
        <f t="shared" si="28"/>
        <v>3.1852684702708682</v>
      </c>
      <c r="N113" s="381"/>
      <c r="O113" s="389">
        <f>'App 5 - Organics'!F113</f>
        <v>0</v>
      </c>
      <c r="P113" s="390"/>
      <c r="Q113" s="391"/>
      <c r="R113" s="392">
        <f>'App 5 - Organics'!J113</f>
        <v>0</v>
      </c>
      <c r="S113" s="393"/>
      <c r="T113" s="394"/>
      <c r="V113" s="395">
        <f>'App 1 - Services'!G113</f>
        <v>4933</v>
      </c>
      <c r="W113" s="396">
        <f>'App 1 - Services'!M113</f>
        <v>2314</v>
      </c>
      <c r="X113" s="397">
        <f>'App 1 - Services'!N113</f>
        <v>1740</v>
      </c>
      <c r="Y113" s="398">
        <f>'App 1 - Services'!O113</f>
        <v>0</v>
      </c>
      <c r="Z113" s="392">
        <f>'App 1 - Services'!P113</f>
        <v>0</v>
      </c>
      <c r="AA113" s="2">
        <v>1</v>
      </c>
      <c r="AB113" s="399">
        <f>'App 1 - Services'!F113</f>
        <v>6470</v>
      </c>
      <c r="AC113" s="396">
        <f t="shared" si="31"/>
        <v>3034.9847962700183</v>
      </c>
      <c r="AD113" s="397">
        <f t="shared" si="32"/>
        <v>2282.1406851814313</v>
      </c>
      <c r="AE113" s="398">
        <f t="shared" si="33"/>
        <v>0</v>
      </c>
      <c r="AF113" s="392">
        <f t="shared" si="34"/>
        <v>0</v>
      </c>
      <c r="AG113" s="400"/>
      <c r="AH113" s="401">
        <f t="shared" si="24"/>
        <v>0</v>
      </c>
      <c r="AI113" s="401">
        <f t="shared" si="25"/>
        <v>0</v>
      </c>
      <c r="AJ113" s="401">
        <f t="shared" si="26"/>
        <v>0</v>
      </c>
      <c r="AK113" s="393"/>
      <c r="AL113" s="394"/>
    </row>
    <row r="114" spans="1:38" x14ac:dyDescent="0.2">
      <c r="A114" s="8">
        <v>17420</v>
      </c>
      <c r="B114" s="8" t="s">
        <v>165</v>
      </c>
      <c r="C114" s="8" t="s">
        <v>19</v>
      </c>
      <c r="D114" s="29" t="s">
        <v>3</v>
      </c>
      <c r="E114" s="381"/>
      <c r="F114" s="382">
        <f>'App 6 - Residual Waste'!F114</f>
        <v>41674</v>
      </c>
      <c r="G114" s="383">
        <f t="shared" si="22"/>
        <v>14.344939445175717</v>
      </c>
      <c r="H114" s="384">
        <f t="shared" si="23"/>
        <v>5.309058256390669</v>
      </c>
      <c r="I114" s="385"/>
      <c r="J114" s="386"/>
      <c r="K114" s="387">
        <f>'App 4 - Recyclables'!F114</f>
        <v>12366</v>
      </c>
      <c r="L114" s="388">
        <f t="shared" si="27"/>
        <v>4.3538574204996756</v>
      </c>
      <c r="M114" s="388">
        <f t="shared" si="28"/>
        <v>1.6113614681883683</v>
      </c>
      <c r="N114" s="381"/>
      <c r="O114" s="389">
        <f>'App 5 - Organics'!F114</f>
        <v>19478</v>
      </c>
      <c r="P114" s="390">
        <f t="shared" si="29"/>
        <v>6.8276206313463437</v>
      </c>
      <c r="Q114" s="391">
        <f t="shared" si="30"/>
        <v>2.5269005716537243</v>
      </c>
      <c r="R114" s="392">
        <f>'App 5 - Organics'!J114</f>
        <v>0</v>
      </c>
      <c r="S114" s="393"/>
      <c r="T114" s="394"/>
      <c r="V114" s="395">
        <f>'App 1 - Services'!G114</f>
        <v>68021</v>
      </c>
      <c r="W114" s="396">
        <f>'App 1 - Services'!M114</f>
        <v>55868</v>
      </c>
      <c r="X114" s="397">
        <f>'App 1 - Services'!N114</f>
        <v>54620</v>
      </c>
      <c r="Y114" s="398">
        <f>'App 1 - Services'!O114</f>
        <v>54862</v>
      </c>
      <c r="Z114" s="392">
        <f>'App 1 - Services'!P114</f>
        <v>0</v>
      </c>
      <c r="AB114" s="399">
        <f>'App 1 - Services'!F114</f>
        <v>183791</v>
      </c>
      <c r="AC114" s="396">
        <f t="shared" si="31"/>
        <v>150953.90523514798</v>
      </c>
      <c r="AD114" s="397">
        <f t="shared" si="32"/>
        <v>147581.84119610122</v>
      </c>
      <c r="AE114" s="398">
        <f t="shared" si="33"/>
        <v>148235.71899854456</v>
      </c>
      <c r="AF114" s="392">
        <f t="shared" si="34"/>
        <v>0</v>
      </c>
      <c r="AG114" s="400"/>
      <c r="AH114" s="401">
        <f t="shared" si="24"/>
        <v>54862</v>
      </c>
      <c r="AI114" s="401">
        <f t="shared" si="25"/>
        <v>148235.71899854456</v>
      </c>
      <c r="AJ114" s="401">
        <f t="shared" si="26"/>
        <v>19478</v>
      </c>
      <c r="AK114" s="393">
        <f>(AJ114*1000)/AE114/52</f>
        <v>2.5269005716537243</v>
      </c>
      <c r="AL114" s="394"/>
    </row>
    <row r="115" spans="1:38" x14ac:dyDescent="0.2">
      <c r="A115" s="8">
        <v>17550</v>
      </c>
      <c r="B115" s="8" t="s">
        <v>166</v>
      </c>
      <c r="C115" s="8" t="s">
        <v>20</v>
      </c>
      <c r="D115" s="29" t="s">
        <v>4</v>
      </c>
      <c r="E115" s="381"/>
      <c r="F115" s="382">
        <f>'App 6 - Residual Waste'!F115</f>
        <v>16434</v>
      </c>
      <c r="G115" s="383">
        <f t="shared" si="22"/>
        <v>7.989646615898006</v>
      </c>
      <c r="H115" s="384">
        <f t="shared" si="23"/>
        <v>3.3741318289659725</v>
      </c>
      <c r="I115" s="385"/>
      <c r="J115" s="386"/>
      <c r="K115" s="387">
        <f>'App 4 - Recyclables'!F115</f>
        <v>8388</v>
      </c>
      <c r="L115" s="388">
        <f t="shared" si="27"/>
        <v>4.1347164357442985</v>
      </c>
      <c r="M115" s="388">
        <f t="shared" si="28"/>
        <v>1.7461446044225988</v>
      </c>
      <c r="N115" s="381"/>
      <c r="O115" s="389">
        <f>'App 5 - Organics'!F115</f>
        <v>0</v>
      </c>
      <c r="P115" s="390"/>
      <c r="Q115" s="391"/>
      <c r="R115" s="392">
        <f>'App 5 - Organics'!J115</f>
        <v>12860</v>
      </c>
      <c r="S115" s="393">
        <f t="shared" ref="S115" si="37">(R115*1000)/Z115/52</f>
        <v>9.1850582101278473</v>
      </c>
      <c r="T115" s="394">
        <f t="shared" ref="T115" si="38">(R115*1000)/AF115/52</f>
        <v>3.878969715134799</v>
      </c>
      <c r="V115" s="395">
        <f>'App 1 - Services'!G115</f>
        <v>41548</v>
      </c>
      <c r="W115" s="396">
        <f>'App 1 - Services'!M115</f>
        <v>39556</v>
      </c>
      <c r="X115" s="397">
        <f>'App 1 - Services'!N115</f>
        <v>39013</v>
      </c>
      <c r="Y115" s="398">
        <f>'App 1 - Services'!O115</f>
        <v>0</v>
      </c>
      <c r="Z115" s="392">
        <f>'App 1 - Services'!P115</f>
        <v>26925</v>
      </c>
      <c r="AB115" s="399">
        <f>'App 1 - Services'!F115</f>
        <v>98382</v>
      </c>
      <c r="AC115" s="396">
        <f t="shared" si="31"/>
        <v>93665.119668816798</v>
      </c>
      <c r="AD115" s="397">
        <f t="shared" si="32"/>
        <v>92379.343554443054</v>
      </c>
      <c r="AE115" s="398">
        <f t="shared" si="33"/>
        <v>0</v>
      </c>
      <c r="AF115" s="392">
        <f t="shared" si="34"/>
        <v>63756.025560797149</v>
      </c>
      <c r="AG115" s="400" t="s">
        <v>14</v>
      </c>
      <c r="AH115" s="401">
        <f t="shared" si="24"/>
        <v>26925</v>
      </c>
      <c r="AI115" s="401">
        <f t="shared" si="25"/>
        <v>63756.025560797149</v>
      </c>
      <c r="AJ115" s="401">
        <f t="shared" si="26"/>
        <v>12860</v>
      </c>
      <c r="AK115" s="393"/>
      <c r="AL115" s="394">
        <f>(AJ115*1000)/AF115/52</f>
        <v>3.878969715134799</v>
      </c>
    </row>
    <row r="116" spans="1:38" x14ac:dyDescent="0.2">
      <c r="A116" s="8">
        <v>17620</v>
      </c>
      <c r="B116" s="8" t="s">
        <v>167</v>
      </c>
      <c r="C116" s="8" t="s">
        <v>25</v>
      </c>
      <c r="D116" s="29" t="s">
        <v>4</v>
      </c>
      <c r="E116" s="381"/>
      <c r="F116" s="382">
        <f>'App 6 - Residual Waste'!F116</f>
        <v>5646.11</v>
      </c>
      <c r="G116" s="383">
        <f t="shared" si="22"/>
        <v>22.834708404109033</v>
      </c>
      <c r="H116" s="384">
        <f t="shared" si="23"/>
        <v>12.303051404571487</v>
      </c>
      <c r="I116" s="385"/>
      <c r="J116" s="386"/>
      <c r="K116" s="387">
        <f>'App 4 - Recyclables'!F116</f>
        <v>784.03</v>
      </c>
      <c r="L116" s="388">
        <f t="shared" si="27"/>
        <v>3.205250850340136</v>
      </c>
      <c r="M116" s="388">
        <f t="shared" si="28"/>
        <v>1.7269485240803457</v>
      </c>
      <c r="N116" s="381"/>
      <c r="O116" s="389">
        <f>'App 5 - Organics'!F116</f>
        <v>0</v>
      </c>
      <c r="P116" s="390"/>
      <c r="Q116" s="391"/>
      <c r="R116" s="392">
        <f>'App 5 - Organics'!J116</f>
        <v>0</v>
      </c>
      <c r="S116" s="393"/>
      <c r="T116" s="394"/>
      <c r="V116" s="395">
        <f>'App 1 - Services'!G116</f>
        <v>7633</v>
      </c>
      <c r="W116" s="396">
        <f>'App 1 - Services'!M116</f>
        <v>4755</v>
      </c>
      <c r="X116" s="397">
        <f>'App 1 - Services'!N116</f>
        <v>4704</v>
      </c>
      <c r="Y116" s="398">
        <f>'App 1 - Services'!O116</f>
        <v>0</v>
      </c>
      <c r="Z116" s="392">
        <f>'App 1 - Services'!P116</f>
        <v>0</v>
      </c>
      <c r="AA116" s="2">
        <v>1</v>
      </c>
      <c r="AB116" s="399">
        <f>'App 1 - Services'!F116</f>
        <v>14167</v>
      </c>
      <c r="AC116" s="396">
        <f t="shared" si="31"/>
        <v>8825.3746888510414</v>
      </c>
      <c r="AD116" s="397">
        <f t="shared" si="32"/>
        <v>8730.7176732608405</v>
      </c>
      <c r="AE116" s="398">
        <f t="shared" si="33"/>
        <v>0</v>
      </c>
      <c r="AF116" s="392">
        <f t="shared" si="34"/>
        <v>0</v>
      </c>
      <c r="AG116" s="400"/>
      <c r="AH116" s="401">
        <f t="shared" si="24"/>
        <v>0</v>
      </c>
      <c r="AI116" s="401">
        <f t="shared" si="25"/>
        <v>0</v>
      </c>
      <c r="AJ116" s="401">
        <f t="shared" si="26"/>
        <v>0</v>
      </c>
      <c r="AK116" s="393"/>
      <c r="AL116" s="394"/>
    </row>
    <row r="117" spans="1:38" x14ac:dyDescent="0.2">
      <c r="A117" s="8">
        <v>17640</v>
      </c>
      <c r="B117" s="8" t="s">
        <v>168</v>
      </c>
      <c r="C117" s="8" t="s">
        <v>74</v>
      </c>
      <c r="D117" s="29" t="s">
        <v>1</v>
      </c>
      <c r="E117" s="381"/>
      <c r="F117" s="382">
        <f>'App 6 - Residual Waste'!F117</f>
        <v>1820</v>
      </c>
      <c r="G117" s="383">
        <f t="shared" si="22"/>
        <v>15.959872321021432</v>
      </c>
      <c r="H117" s="384">
        <f t="shared" si="23"/>
        <v>12.339292148606974</v>
      </c>
      <c r="I117" s="385"/>
      <c r="J117" s="386"/>
      <c r="K117" s="387">
        <f>'App 4 - Recyclables'!F117</f>
        <v>422</v>
      </c>
      <c r="L117" s="388">
        <f t="shared" si="27"/>
        <v>3.7005857799291451</v>
      </c>
      <c r="M117" s="388">
        <f t="shared" si="28"/>
        <v>2.8610886190726061</v>
      </c>
      <c r="N117" s="381"/>
      <c r="O117" s="389">
        <f>'App 5 - Organics'!F117</f>
        <v>400</v>
      </c>
      <c r="P117" s="390">
        <f t="shared" si="29"/>
        <v>3.507664246378337</v>
      </c>
      <c r="Q117" s="391">
        <f t="shared" si="30"/>
        <v>2.7119323403531812</v>
      </c>
      <c r="R117" s="392">
        <f>'App 5 - Organics'!J117</f>
        <v>0</v>
      </c>
      <c r="S117" s="393"/>
      <c r="T117" s="394"/>
      <c r="V117" s="395">
        <f>'App 1 - Services'!G117</f>
        <v>6397</v>
      </c>
      <c r="W117" s="396">
        <f>'App 1 - Services'!M117</f>
        <v>2193</v>
      </c>
      <c r="X117" s="397">
        <f>'App 1 - Services'!N117</f>
        <v>2193</v>
      </c>
      <c r="Y117" s="398">
        <f>'App 1 - Services'!O117</f>
        <v>2193</v>
      </c>
      <c r="Z117" s="392">
        <f>'App 1 - Services'!P117</f>
        <v>0</v>
      </c>
      <c r="AB117" s="399">
        <f>'App 1 - Services'!F117</f>
        <v>8274</v>
      </c>
      <c r="AC117" s="396">
        <f t="shared" si="31"/>
        <v>2836.467406596842</v>
      </c>
      <c r="AD117" s="397">
        <f t="shared" si="32"/>
        <v>2836.467406596842</v>
      </c>
      <c r="AE117" s="398">
        <f t="shared" si="33"/>
        <v>2836.467406596842</v>
      </c>
      <c r="AF117" s="392">
        <f t="shared" si="34"/>
        <v>0</v>
      </c>
      <c r="AG117" s="400"/>
      <c r="AH117" s="401">
        <f t="shared" si="24"/>
        <v>2193</v>
      </c>
      <c r="AI117" s="401">
        <f t="shared" si="25"/>
        <v>2836.467406596842</v>
      </c>
      <c r="AJ117" s="401">
        <f t="shared" si="26"/>
        <v>400</v>
      </c>
      <c r="AK117" s="393">
        <f>(AJ117*1000)/AE117/52</f>
        <v>2.7119323403531812</v>
      </c>
      <c r="AL117" s="394"/>
    </row>
    <row r="118" spans="1:38" x14ac:dyDescent="0.2">
      <c r="A118" s="8">
        <v>17650</v>
      </c>
      <c r="B118" s="8" t="s">
        <v>169</v>
      </c>
      <c r="C118" s="8" t="s">
        <v>17</v>
      </c>
      <c r="D118" s="29" t="s">
        <v>1</v>
      </c>
      <c r="E118" s="381"/>
      <c r="F118" s="382">
        <f>'App 6 - Residual Waste'!F118</f>
        <v>986.86</v>
      </c>
      <c r="G118" s="383">
        <f t="shared" si="22"/>
        <v>9.4700982650084438</v>
      </c>
      <c r="H118" s="384">
        <f t="shared" si="23"/>
        <v>5.0345744477501153</v>
      </c>
      <c r="I118" s="385"/>
      <c r="J118" s="386"/>
      <c r="K118" s="387">
        <f>'App 4 - Recyclables'!F118</f>
        <v>737.89</v>
      </c>
      <c r="L118" s="388">
        <f t="shared" si="27"/>
        <v>7.4724551383319158</v>
      </c>
      <c r="M118" s="388">
        <f t="shared" si="28"/>
        <v>3.9725703629086224</v>
      </c>
      <c r="N118" s="381"/>
      <c r="O118" s="389">
        <f>'App 5 - Organics'!F118</f>
        <v>42.1</v>
      </c>
      <c r="P118" s="390">
        <f t="shared" si="29"/>
        <v>8.177933177933177</v>
      </c>
      <c r="Q118" s="391">
        <f t="shared" si="30"/>
        <v>4.3476226181475175</v>
      </c>
      <c r="R118" s="392">
        <f>'App 5 - Organics'!J118</f>
        <v>0</v>
      </c>
      <c r="S118" s="393"/>
      <c r="T118" s="394"/>
      <c r="V118" s="395">
        <f>'App 1 - Services'!G118</f>
        <v>3160</v>
      </c>
      <c r="W118" s="396">
        <f>'App 1 - Services'!M118</f>
        <v>2004</v>
      </c>
      <c r="X118" s="397">
        <f>'App 1 - Services'!N118</f>
        <v>1899</v>
      </c>
      <c r="Y118" s="398">
        <f>'App 1 - Services'!O118</f>
        <v>99</v>
      </c>
      <c r="Z118" s="392">
        <f>'App 1 - Services'!P118</f>
        <v>0</v>
      </c>
      <c r="AB118" s="399">
        <f>'App 1 - Services'!F118</f>
        <v>5944</v>
      </c>
      <c r="AC118" s="396">
        <f t="shared" si="31"/>
        <v>3769.5493670886081</v>
      </c>
      <c r="AD118" s="397">
        <f t="shared" si="32"/>
        <v>3572.0430379746836</v>
      </c>
      <c r="AE118" s="398">
        <f t="shared" si="33"/>
        <v>186.22025316455696</v>
      </c>
      <c r="AF118" s="392">
        <f t="shared" si="34"/>
        <v>0</v>
      </c>
      <c r="AG118" s="400"/>
      <c r="AH118" s="401">
        <f t="shared" si="24"/>
        <v>99</v>
      </c>
      <c r="AI118" s="401">
        <f t="shared" si="25"/>
        <v>186.22025316455696</v>
      </c>
      <c r="AJ118" s="401">
        <f t="shared" si="26"/>
        <v>42.1</v>
      </c>
      <c r="AK118" s="393">
        <f>(AJ118*1000)/AE118/52</f>
        <v>4.3476226181475175</v>
      </c>
      <c r="AL118" s="394"/>
    </row>
    <row r="119" spans="1:38" x14ac:dyDescent="0.2">
      <c r="A119" s="8">
        <v>17750</v>
      </c>
      <c r="B119" s="8" t="s">
        <v>170</v>
      </c>
      <c r="C119" s="8" t="s">
        <v>22</v>
      </c>
      <c r="D119" s="29" t="s">
        <v>1</v>
      </c>
      <c r="E119" s="407"/>
      <c r="F119" s="382">
        <f>'App 6 - Residual Waste'!F119</f>
        <v>7735</v>
      </c>
      <c r="G119" s="383">
        <f t="shared" si="22"/>
        <v>5.8035191759978151</v>
      </c>
      <c r="H119" s="384">
        <f t="shared" si="23"/>
        <v>2.2616694541584308</v>
      </c>
      <c r="I119" s="385"/>
      <c r="J119" s="386"/>
      <c r="K119" s="387">
        <f>'App 4 - Recyclables'!F119</f>
        <v>5159</v>
      </c>
      <c r="L119" s="388">
        <f t="shared" si="27"/>
        <v>3.87076346851619</v>
      </c>
      <c r="M119" s="388">
        <f t="shared" si="28"/>
        <v>1.5084618893346275</v>
      </c>
      <c r="N119" s="381"/>
      <c r="O119" s="389">
        <f>'App 5 - Organics'!F119</f>
        <v>0</v>
      </c>
      <c r="P119" s="390"/>
      <c r="Q119" s="391"/>
      <c r="R119" s="392">
        <f>'App 5 - Organics'!J119</f>
        <v>13592</v>
      </c>
      <c r="S119" s="393">
        <f t="shared" si="35"/>
        <v>10.197987413078513</v>
      </c>
      <c r="T119" s="394">
        <f t="shared" si="36"/>
        <v>3.974222523713173</v>
      </c>
      <c r="V119" s="395">
        <f>'App 1 - Services'!G119</f>
        <v>25631</v>
      </c>
      <c r="W119" s="396">
        <f>'App 1 - Services'!M119</f>
        <v>25631</v>
      </c>
      <c r="X119" s="397">
        <f>'App 1 - Services'!N119</f>
        <v>25631</v>
      </c>
      <c r="Y119" s="398">
        <f>'App 1 - Services'!O119</f>
        <v>0</v>
      </c>
      <c r="Z119" s="392">
        <f>'App 1 - Services'!P119</f>
        <v>25631</v>
      </c>
      <c r="AB119" s="399">
        <f>'App 1 - Services'!F119</f>
        <v>65770</v>
      </c>
      <c r="AC119" s="396">
        <f t="shared" si="31"/>
        <v>65770</v>
      </c>
      <c r="AD119" s="397">
        <f t="shared" si="32"/>
        <v>65770</v>
      </c>
      <c r="AE119" s="398">
        <f t="shared" si="33"/>
        <v>0</v>
      </c>
      <c r="AF119" s="392">
        <f t="shared" si="34"/>
        <v>65770</v>
      </c>
      <c r="AG119" s="400" t="s">
        <v>14</v>
      </c>
      <c r="AH119" s="401">
        <f t="shared" si="24"/>
        <v>25631</v>
      </c>
      <c r="AI119" s="401">
        <f t="shared" si="25"/>
        <v>65770</v>
      </c>
      <c r="AJ119" s="401">
        <f t="shared" si="26"/>
        <v>13592</v>
      </c>
      <c r="AK119" s="393"/>
      <c r="AL119" s="394">
        <f>(AJ119*1000)/AF119/52</f>
        <v>3.974222523713173</v>
      </c>
    </row>
    <row r="120" spans="1:38" x14ac:dyDescent="0.2">
      <c r="A120" s="8">
        <v>17850</v>
      </c>
      <c r="B120" s="8" t="s">
        <v>171</v>
      </c>
      <c r="C120" s="8" t="s">
        <v>17</v>
      </c>
      <c r="D120" s="29" t="s">
        <v>1</v>
      </c>
      <c r="E120" s="408"/>
      <c r="F120" s="382">
        <f>'App 6 - Residual Waste'!F120</f>
        <v>434.71</v>
      </c>
      <c r="G120" s="383">
        <f t="shared" si="22"/>
        <v>10.703979119472077</v>
      </c>
      <c r="H120" s="384">
        <f t="shared" si="23"/>
        <v>6.3051780384909595</v>
      </c>
      <c r="I120" s="385"/>
      <c r="J120" s="386"/>
      <c r="K120" s="387">
        <f>'App 4 - Recyclables'!F120</f>
        <v>179.93</v>
      </c>
      <c r="L120" s="388">
        <f t="shared" si="27"/>
        <v>4.5349833652585945</v>
      </c>
      <c r="M120" s="388">
        <f t="shared" si="28"/>
        <v>2.6713315861700382</v>
      </c>
      <c r="N120" s="381"/>
      <c r="O120" s="389">
        <f>'App 5 - Organics'!F120</f>
        <v>161.15</v>
      </c>
      <c r="P120" s="390">
        <f t="shared" si="29"/>
        <v>4.0616493598144974</v>
      </c>
      <c r="Q120" s="391">
        <f t="shared" si="30"/>
        <v>2.3925142283738214</v>
      </c>
      <c r="R120" s="392">
        <f>'App 5 - Organics'!J120</f>
        <v>0</v>
      </c>
      <c r="S120" s="393"/>
      <c r="T120" s="394"/>
      <c r="V120" s="395">
        <f>'App 1 - Services'!G120</f>
        <v>1829</v>
      </c>
      <c r="W120" s="396">
        <f>'App 1 - Services'!M120</f>
        <v>781</v>
      </c>
      <c r="X120" s="397">
        <f>'App 1 - Services'!N120</f>
        <v>763</v>
      </c>
      <c r="Y120" s="398">
        <f>'App 1 - Services'!O120</f>
        <v>763</v>
      </c>
      <c r="Z120" s="392">
        <f>'App 1 - Services'!P120</f>
        <v>0</v>
      </c>
      <c r="AB120" s="399">
        <f>'App 1 - Services'!F120</f>
        <v>3105</v>
      </c>
      <c r="AC120" s="396">
        <f t="shared" si="31"/>
        <v>1325.863860032805</v>
      </c>
      <c r="AD120" s="397">
        <f t="shared" si="32"/>
        <v>1295.3061782394752</v>
      </c>
      <c r="AE120" s="398">
        <f t="shared" si="33"/>
        <v>1295.3061782394752</v>
      </c>
      <c r="AF120" s="392">
        <f t="shared" si="34"/>
        <v>0</v>
      </c>
      <c r="AG120" s="400"/>
      <c r="AH120" s="401">
        <f t="shared" si="24"/>
        <v>763</v>
      </c>
      <c r="AI120" s="401">
        <f t="shared" si="25"/>
        <v>1295.3061782394752</v>
      </c>
      <c r="AJ120" s="401">
        <f t="shared" si="26"/>
        <v>161.15</v>
      </c>
      <c r="AK120" s="393">
        <f>(AJ120*1000)/AE120/52</f>
        <v>2.3925142283738214</v>
      </c>
      <c r="AL120" s="394"/>
    </row>
    <row r="121" spans="1:38" x14ac:dyDescent="0.2">
      <c r="A121" s="8">
        <v>17900</v>
      </c>
      <c r="B121" s="8" t="s">
        <v>172</v>
      </c>
      <c r="C121" s="8" t="s">
        <v>42</v>
      </c>
      <c r="D121" s="29" t="s">
        <v>1</v>
      </c>
      <c r="E121" s="408"/>
      <c r="F121" s="382">
        <f>'App 6 - Residual Waste'!F121</f>
        <v>1500</v>
      </c>
      <c r="G121" s="383">
        <f t="shared" si="22"/>
        <v>18.816799638717448</v>
      </c>
      <c r="H121" s="384">
        <f t="shared" si="23"/>
        <v>15.717258174549849</v>
      </c>
      <c r="I121" s="385"/>
      <c r="J121" s="386"/>
      <c r="K121" s="387">
        <f>'App 4 - Recyclables'!F121</f>
        <v>0</v>
      </c>
      <c r="L121" s="388"/>
      <c r="M121" s="388"/>
      <c r="N121" s="381"/>
      <c r="O121" s="389">
        <f>'App 5 - Organics'!F121</f>
        <v>0</v>
      </c>
      <c r="P121" s="390"/>
      <c r="Q121" s="391"/>
      <c r="R121" s="392">
        <f>'App 5 - Organics'!J121</f>
        <v>0</v>
      </c>
      <c r="S121" s="393"/>
      <c r="T121" s="394"/>
      <c r="V121" s="395">
        <f>'App 1 - Services'!G121</f>
        <v>4868</v>
      </c>
      <c r="W121" s="396">
        <f>'App 1 - Services'!M121</f>
        <v>1533</v>
      </c>
      <c r="X121" s="397">
        <f>'App 1 - Services'!N121</f>
        <v>0</v>
      </c>
      <c r="Y121" s="398">
        <f>'App 1 - Services'!O121</f>
        <v>0</v>
      </c>
      <c r="Z121" s="392">
        <f>'App 1 - Services'!P121</f>
        <v>0</v>
      </c>
      <c r="AA121" s="2">
        <v>1</v>
      </c>
      <c r="AB121" s="399">
        <f>'App 1 - Services'!F121</f>
        <v>5828</v>
      </c>
      <c r="AC121" s="396">
        <f t="shared" si="31"/>
        <v>1835.3171733771571</v>
      </c>
      <c r="AD121" s="397">
        <f t="shared" si="32"/>
        <v>0</v>
      </c>
      <c r="AE121" s="398">
        <f t="shared" si="33"/>
        <v>0</v>
      </c>
      <c r="AF121" s="392">
        <f t="shared" si="34"/>
        <v>0</v>
      </c>
      <c r="AG121" s="400"/>
      <c r="AH121" s="401">
        <f t="shared" si="24"/>
        <v>0</v>
      </c>
      <c r="AI121" s="401">
        <f t="shared" si="25"/>
        <v>0</v>
      </c>
      <c r="AJ121" s="401">
        <f t="shared" si="26"/>
        <v>0</v>
      </c>
      <c r="AK121" s="393"/>
      <c r="AL121" s="394"/>
    </row>
    <row r="122" spans="1:38" x14ac:dyDescent="0.2">
      <c r="A122" s="8">
        <v>17950</v>
      </c>
      <c r="B122" s="8" t="s">
        <v>173</v>
      </c>
      <c r="C122" s="8" t="s">
        <v>42</v>
      </c>
      <c r="D122" s="29" t="s">
        <v>1</v>
      </c>
      <c r="E122" s="408"/>
      <c r="F122" s="382">
        <f>'App 6 - Residual Waste'!F122</f>
        <v>740</v>
      </c>
      <c r="G122" s="383">
        <f t="shared" si="22"/>
        <v>14.979757085020243</v>
      </c>
      <c r="H122" s="384">
        <f t="shared" si="23"/>
        <v>11.350640677824616</v>
      </c>
      <c r="I122" s="385"/>
      <c r="J122" s="386"/>
      <c r="K122" s="387">
        <f>'App 4 - Recyclables'!F122</f>
        <v>0</v>
      </c>
      <c r="L122" s="388"/>
      <c r="M122" s="388"/>
      <c r="N122" s="381"/>
      <c r="O122" s="389">
        <f>'App 5 - Organics'!F122</f>
        <v>0</v>
      </c>
      <c r="P122" s="390"/>
      <c r="Q122" s="391"/>
      <c r="R122" s="392">
        <f>'App 5 - Organics'!J122</f>
        <v>0</v>
      </c>
      <c r="S122" s="393"/>
      <c r="T122" s="394"/>
      <c r="V122" s="395">
        <f>'App 1 - Services'!G122</f>
        <v>2058</v>
      </c>
      <c r="W122" s="396">
        <f>'App 1 - Services'!M122</f>
        <v>950</v>
      </c>
      <c r="X122" s="397">
        <f>'App 1 - Services'!N122</f>
        <v>0</v>
      </c>
      <c r="Y122" s="398">
        <f>'App 1 - Services'!O122</f>
        <v>0</v>
      </c>
      <c r="Z122" s="392">
        <f>'App 1 - Services'!P122</f>
        <v>0</v>
      </c>
      <c r="AA122" s="2">
        <v>1</v>
      </c>
      <c r="AB122" s="399">
        <f>'App 1 - Services'!F122</f>
        <v>2716</v>
      </c>
      <c r="AC122" s="396">
        <f t="shared" si="31"/>
        <v>1253.7414965986395</v>
      </c>
      <c r="AD122" s="397">
        <f t="shared" si="32"/>
        <v>0</v>
      </c>
      <c r="AE122" s="398">
        <f t="shared" si="33"/>
        <v>0</v>
      </c>
      <c r="AF122" s="392">
        <f t="shared" si="34"/>
        <v>0</v>
      </c>
      <c r="AG122" s="400"/>
      <c r="AH122" s="401">
        <f t="shared" si="24"/>
        <v>0</v>
      </c>
      <c r="AI122" s="401">
        <f t="shared" si="25"/>
        <v>0</v>
      </c>
      <c r="AJ122" s="401">
        <f t="shared" si="26"/>
        <v>0</v>
      </c>
      <c r="AK122" s="393"/>
      <c r="AL122" s="394"/>
    </row>
    <row r="123" spans="1:38" x14ac:dyDescent="0.2">
      <c r="A123" s="8">
        <v>18020</v>
      </c>
      <c r="B123" s="8" t="s">
        <v>174</v>
      </c>
      <c r="C123" s="8" t="s">
        <v>42</v>
      </c>
      <c r="D123" s="29" t="s">
        <v>1</v>
      </c>
      <c r="E123" s="408"/>
      <c r="F123" s="382">
        <f>'App 6 - Residual Waste'!F123</f>
        <v>3646</v>
      </c>
      <c r="G123" s="383">
        <f t="shared" si="22"/>
        <v>12.078446962167892</v>
      </c>
      <c r="H123" s="384">
        <f t="shared" si="23"/>
        <v>8.3430341107992145</v>
      </c>
      <c r="I123" s="385"/>
      <c r="J123" s="386"/>
      <c r="K123" s="387">
        <f>'App 4 - Recyclables'!F123</f>
        <v>372</v>
      </c>
      <c r="L123" s="388">
        <f t="shared" si="27"/>
        <v>1.2323593718942556</v>
      </c>
      <c r="M123" s="388">
        <f t="shared" si="28"/>
        <v>0.85123661251160398</v>
      </c>
      <c r="N123" s="381"/>
      <c r="O123" s="389">
        <f>'App 5 - Organics'!F123</f>
        <v>0</v>
      </c>
      <c r="P123" s="390"/>
      <c r="Q123" s="391"/>
      <c r="R123" s="392">
        <f>'App 5 - Organics'!J123</f>
        <v>0</v>
      </c>
      <c r="S123" s="393"/>
      <c r="T123" s="394"/>
      <c r="V123" s="395">
        <f>'App 1 - Services'!G123</f>
        <v>6361</v>
      </c>
      <c r="W123" s="396">
        <f>'App 1 - Services'!M123</f>
        <v>5805</v>
      </c>
      <c r="X123" s="397">
        <f>'App 1 - Services'!N123</f>
        <v>5805</v>
      </c>
      <c r="Y123" s="398">
        <f>'App 1 - Services'!O123</f>
        <v>0</v>
      </c>
      <c r="Z123" s="392">
        <f>'App 1 - Services'!P123</f>
        <v>0</v>
      </c>
      <c r="AA123" s="2">
        <v>1</v>
      </c>
      <c r="AB123" s="399">
        <f>'App 1 - Services'!F123</f>
        <v>9209</v>
      </c>
      <c r="AC123" s="396">
        <f t="shared" si="31"/>
        <v>8404.0630404024523</v>
      </c>
      <c r="AD123" s="397">
        <f t="shared" si="32"/>
        <v>8404.0630404024523</v>
      </c>
      <c r="AE123" s="398">
        <f t="shared" si="33"/>
        <v>0</v>
      </c>
      <c r="AF123" s="392">
        <f t="shared" si="34"/>
        <v>0</v>
      </c>
      <c r="AG123" s="400"/>
      <c r="AH123" s="401">
        <f t="shared" si="24"/>
        <v>0</v>
      </c>
      <c r="AI123" s="401">
        <f t="shared" si="25"/>
        <v>0</v>
      </c>
      <c r="AJ123" s="401">
        <f t="shared" si="26"/>
        <v>0</v>
      </c>
      <c r="AK123" s="393"/>
      <c r="AL123" s="394"/>
    </row>
    <row r="124" spans="1:38" x14ac:dyDescent="0.2">
      <c r="A124" s="8">
        <v>18050</v>
      </c>
      <c r="B124" s="8" t="s">
        <v>69</v>
      </c>
      <c r="C124" s="8" t="s">
        <v>18</v>
      </c>
      <c r="D124" s="29" t="s">
        <v>3</v>
      </c>
      <c r="E124" s="408"/>
      <c r="F124" s="382">
        <f>'App 6 - Residual Waste'!F124</f>
        <v>14487</v>
      </c>
      <c r="G124" s="383">
        <f t="shared" si="22"/>
        <v>9.3652061935644024</v>
      </c>
      <c r="H124" s="384">
        <f t="shared" si="23"/>
        <v>3.7515798519483448</v>
      </c>
      <c r="I124" s="385"/>
      <c r="J124" s="386"/>
      <c r="K124" s="387">
        <f>'App 4 - Recyclables'!F124</f>
        <v>5530</v>
      </c>
      <c r="L124" s="388">
        <f t="shared" si="27"/>
        <v>3.5741800714577483</v>
      </c>
      <c r="M124" s="388">
        <f t="shared" si="28"/>
        <v>1.4317700717076021</v>
      </c>
      <c r="N124" s="381"/>
      <c r="O124" s="389">
        <f>'App 5 - Organics'!F124</f>
        <v>2359.1799999999998</v>
      </c>
      <c r="P124" s="390">
        <f t="shared" si="29"/>
        <v>1.525105760180387</v>
      </c>
      <c r="Q124" s="391">
        <f t="shared" si="30"/>
        <v>0.61093754090698527</v>
      </c>
      <c r="R124" s="392">
        <f>'App 5 - Organics'!J124</f>
        <v>0</v>
      </c>
      <c r="S124" s="393"/>
      <c r="T124" s="394"/>
      <c r="V124" s="395">
        <f>'App 1 - Services'!G124</f>
        <v>29754</v>
      </c>
      <c r="W124" s="396">
        <f>'App 1 - Services'!M124</f>
        <v>29748</v>
      </c>
      <c r="X124" s="397">
        <f>'App 1 - Services'!N124</f>
        <v>29754</v>
      </c>
      <c r="Y124" s="398">
        <f>'App 1 - Services'!O124</f>
        <v>29748</v>
      </c>
      <c r="Z124" s="392">
        <f>'App 1 - Services'!P124</f>
        <v>0</v>
      </c>
      <c r="AB124" s="399">
        <f>'App 1 - Services'!F124</f>
        <v>74276</v>
      </c>
      <c r="AC124" s="396">
        <f t="shared" si="31"/>
        <v>74261.021980237943</v>
      </c>
      <c r="AD124" s="397">
        <f t="shared" si="32"/>
        <v>74276</v>
      </c>
      <c r="AE124" s="398">
        <f t="shared" si="33"/>
        <v>74261.021980237943</v>
      </c>
      <c r="AF124" s="392">
        <f t="shared" si="34"/>
        <v>0</v>
      </c>
      <c r="AG124" s="400"/>
      <c r="AH124" s="401">
        <f t="shared" si="24"/>
        <v>29748</v>
      </c>
      <c r="AI124" s="401">
        <f t="shared" si="25"/>
        <v>74261.021980237943</v>
      </c>
      <c r="AJ124" s="401">
        <f t="shared" si="26"/>
        <v>2359.1799999999998</v>
      </c>
      <c r="AK124" s="393">
        <f>(AJ124*1000)/AE124/52</f>
        <v>0.61093754090698527</v>
      </c>
      <c r="AL124" s="394"/>
    </row>
    <row r="125" spans="1:38" x14ac:dyDescent="0.2">
      <c r="A125" s="8">
        <v>18100</v>
      </c>
      <c r="B125" s="8" t="s">
        <v>175</v>
      </c>
      <c r="C125" s="8" t="s">
        <v>42</v>
      </c>
      <c r="D125" s="29" t="s">
        <v>1</v>
      </c>
      <c r="E125" s="381"/>
      <c r="F125" s="382">
        <f>'App 6 - Residual Waste'!F125</f>
        <v>595</v>
      </c>
      <c r="G125" s="383">
        <f t="shared" si="22"/>
        <v>10.019533881180116</v>
      </c>
      <c r="H125" s="384">
        <f t="shared" si="23"/>
        <v>7.261097134136647</v>
      </c>
      <c r="I125" s="385"/>
      <c r="J125" s="386"/>
      <c r="K125" s="387">
        <f>'App 4 - Recyclables'!F125</f>
        <v>95.26</v>
      </c>
      <c r="L125" s="388">
        <f t="shared" si="27"/>
        <v>1.7513604941903222</v>
      </c>
      <c r="M125" s="388">
        <f t="shared" si="28"/>
        <v>1.2692006251001056</v>
      </c>
      <c r="N125" s="381"/>
      <c r="O125" s="389">
        <f>'App 5 - Organics'!F125</f>
        <v>0</v>
      </c>
      <c r="P125" s="390"/>
      <c r="Q125" s="391"/>
      <c r="R125" s="392">
        <f>'App 5 - Organics'!J125</f>
        <v>0</v>
      </c>
      <c r="S125" s="393"/>
      <c r="T125" s="394"/>
      <c r="V125" s="395">
        <f>'App 1 - Services'!G125</f>
        <v>2606</v>
      </c>
      <c r="W125" s="396">
        <f>'App 1 - Services'!M125</f>
        <v>1142</v>
      </c>
      <c r="X125" s="397">
        <f>'App 1 - Services'!N125</f>
        <v>1046</v>
      </c>
      <c r="Y125" s="398">
        <f>'App 1 - Services'!O125</f>
        <v>0</v>
      </c>
      <c r="Z125" s="392">
        <f>'App 1 - Services'!P125</f>
        <v>0</v>
      </c>
      <c r="AA125" s="2">
        <v>1</v>
      </c>
      <c r="AB125" s="399">
        <f>'App 1 - Services'!F125</f>
        <v>3596</v>
      </c>
      <c r="AC125" s="396">
        <f t="shared" si="31"/>
        <v>1575.8372985418266</v>
      </c>
      <c r="AD125" s="397">
        <f t="shared" si="32"/>
        <v>1443.367613200307</v>
      </c>
      <c r="AE125" s="398">
        <f t="shared" si="33"/>
        <v>0</v>
      </c>
      <c r="AF125" s="392">
        <f t="shared" si="34"/>
        <v>0</v>
      </c>
      <c r="AG125" s="400"/>
      <c r="AH125" s="401">
        <f t="shared" si="24"/>
        <v>0</v>
      </c>
      <c r="AI125" s="401">
        <f t="shared" si="25"/>
        <v>0</v>
      </c>
      <c r="AJ125" s="401">
        <f t="shared" si="26"/>
        <v>0</v>
      </c>
      <c r="AK125" s="393"/>
      <c r="AL125" s="394"/>
    </row>
    <row r="126" spans="1:38" x14ac:dyDescent="0.2">
      <c r="A126" s="8">
        <v>18200</v>
      </c>
      <c r="B126" s="8" t="s">
        <v>176</v>
      </c>
      <c r="C126" s="8" t="s">
        <v>73</v>
      </c>
      <c r="D126" s="29" t="s">
        <v>1</v>
      </c>
      <c r="E126" s="381"/>
      <c r="F126" s="382">
        <f>'App 6 - Residual Waste'!F126</f>
        <v>2356.62</v>
      </c>
      <c r="G126" s="383">
        <f t="shared" si="22"/>
        <v>17.912891456369717</v>
      </c>
      <c r="H126" s="384">
        <f t="shared" si="23"/>
        <v>7.3596971526664294</v>
      </c>
      <c r="I126" s="385"/>
      <c r="J126" s="386"/>
      <c r="K126" s="387">
        <f>'App 4 - Recyclables'!F126</f>
        <v>0</v>
      </c>
      <c r="L126" s="388"/>
      <c r="M126" s="388"/>
      <c r="N126" s="381"/>
      <c r="O126" s="389">
        <f>'App 5 - Organics'!F126</f>
        <v>0</v>
      </c>
      <c r="P126" s="390"/>
      <c r="Q126" s="391"/>
      <c r="R126" s="392">
        <f>'App 5 - Organics'!J126</f>
        <v>0</v>
      </c>
      <c r="S126" s="393"/>
      <c r="T126" s="394"/>
      <c r="V126" s="395">
        <f>'App 1 - Services'!G126</f>
        <v>2913</v>
      </c>
      <c r="W126" s="396">
        <f>'App 1 - Services'!M126</f>
        <v>2530</v>
      </c>
      <c r="X126" s="397">
        <f>'App 1 - Services'!N126</f>
        <v>0</v>
      </c>
      <c r="Y126" s="398">
        <f>'App 1 - Services'!O126</f>
        <v>0</v>
      </c>
      <c r="Z126" s="392">
        <f>'App 1 - Services'!P126</f>
        <v>0</v>
      </c>
      <c r="AA126" s="2">
        <v>1</v>
      </c>
      <c r="AB126" s="399">
        <f>'App 1 - Services'!F126</f>
        <v>7090</v>
      </c>
      <c r="AC126" s="396">
        <f t="shared" si="31"/>
        <v>6157.8098180569859</v>
      </c>
      <c r="AD126" s="397">
        <f t="shared" si="32"/>
        <v>0</v>
      </c>
      <c r="AE126" s="398">
        <f t="shared" si="33"/>
        <v>0</v>
      </c>
      <c r="AF126" s="392">
        <f t="shared" si="34"/>
        <v>0</v>
      </c>
      <c r="AG126" s="400"/>
      <c r="AH126" s="401">
        <f t="shared" si="24"/>
        <v>0</v>
      </c>
      <c r="AI126" s="401">
        <f t="shared" si="25"/>
        <v>0</v>
      </c>
      <c r="AJ126" s="401">
        <f t="shared" si="26"/>
        <v>0</v>
      </c>
      <c r="AK126" s="393"/>
      <c r="AL126" s="394"/>
    </row>
    <row r="127" spans="1:38" x14ac:dyDescent="0.2">
      <c r="A127" s="8">
        <v>18250</v>
      </c>
      <c r="B127" s="8" t="s">
        <v>70</v>
      </c>
      <c r="C127" s="8" t="s">
        <v>26</v>
      </c>
      <c r="D127" s="29" t="s">
        <v>3</v>
      </c>
      <c r="E127" s="381"/>
      <c r="F127" s="382">
        <f>'App 6 - Residual Waste'!F127</f>
        <v>15042.12</v>
      </c>
      <c r="G127" s="383">
        <f t="shared" si="22"/>
        <v>9.6983115452958213</v>
      </c>
      <c r="H127" s="384">
        <f t="shared" si="23"/>
        <v>3.8602853691366033</v>
      </c>
      <c r="I127" s="385"/>
      <c r="J127" s="386"/>
      <c r="K127" s="387">
        <f>'App 4 - Recyclables'!F127</f>
        <v>6203.66</v>
      </c>
      <c r="L127" s="388">
        <f t="shared" si="27"/>
        <v>3.6913627849300363</v>
      </c>
      <c r="M127" s="388">
        <f t="shared" si="28"/>
        <v>1.4692984118202108</v>
      </c>
      <c r="N127" s="381"/>
      <c r="O127" s="389">
        <f>'App 5 - Organics'!F127</f>
        <v>6981.92</v>
      </c>
      <c r="P127" s="390">
        <f t="shared" si="29"/>
        <v>10.052986845439676</v>
      </c>
      <c r="Q127" s="391">
        <f t="shared" si="30"/>
        <v>4.001459208061541</v>
      </c>
      <c r="R127" s="392">
        <f>'App 5 - Organics'!J127</f>
        <v>0</v>
      </c>
      <c r="S127" s="393"/>
      <c r="T127" s="394"/>
      <c r="V127" s="395">
        <f>'App 1 - Services'!G127</f>
        <v>32319</v>
      </c>
      <c r="W127" s="396">
        <f>'App 1 - Services'!M127</f>
        <v>29827</v>
      </c>
      <c r="X127" s="397">
        <f>'App 1 - Services'!N127</f>
        <v>32319</v>
      </c>
      <c r="Y127" s="398">
        <f>'App 1 - Services'!O127</f>
        <v>13356</v>
      </c>
      <c r="Z127" s="392">
        <f>'App 1 - Services'!P127</f>
        <v>0</v>
      </c>
      <c r="AB127" s="399">
        <f>'App 1 - Services'!F127</f>
        <v>81196</v>
      </c>
      <c r="AC127" s="396">
        <f t="shared" si="31"/>
        <v>74935.273121074293</v>
      </c>
      <c r="AD127" s="397">
        <f t="shared" si="32"/>
        <v>81196</v>
      </c>
      <c r="AE127" s="398">
        <f t="shared" si="33"/>
        <v>33554.682261208574</v>
      </c>
      <c r="AF127" s="392">
        <f t="shared" si="34"/>
        <v>0</v>
      </c>
      <c r="AG127" s="400"/>
      <c r="AH127" s="401">
        <f t="shared" si="24"/>
        <v>13356</v>
      </c>
      <c r="AI127" s="401">
        <f t="shared" si="25"/>
        <v>33554.682261208574</v>
      </c>
      <c r="AJ127" s="401">
        <f t="shared" si="26"/>
        <v>6981.92</v>
      </c>
      <c r="AK127" s="393">
        <f>(AJ127*1000)/AE127/52</f>
        <v>4.001459208061541</v>
      </c>
      <c r="AL127" s="394"/>
    </row>
    <row r="128" spans="1:38" x14ac:dyDescent="0.2">
      <c r="A128" s="8">
        <v>18350</v>
      </c>
      <c r="B128" s="8" t="s">
        <v>71</v>
      </c>
      <c r="C128" s="8" t="s">
        <v>74</v>
      </c>
      <c r="D128" s="29" t="s">
        <v>2</v>
      </c>
      <c r="E128" s="381"/>
      <c r="F128" s="382">
        <f>'App 6 - Residual Waste'!F128</f>
        <v>8343.68</v>
      </c>
      <c r="G128" s="383">
        <f t="shared" si="22"/>
        <v>8.2390441394292484</v>
      </c>
      <c r="H128" s="384">
        <f t="shared" si="23"/>
        <v>3.3094661264079117</v>
      </c>
      <c r="I128" s="385"/>
      <c r="J128" s="386"/>
      <c r="K128" s="387">
        <f>'App 4 - Recyclables'!F128</f>
        <v>4543.68</v>
      </c>
      <c r="L128" s="388">
        <f t="shared" si="27"/>
        <v>4.4866989236693993</v>
      </c>
      <c r="M128" s="388">
        <f t="shared" si="28"/>
        <v>1.8022209683541435</v>
      </c>
      <c r="N128" s="381"/>
      <c r="O128" s="389">
        <f>'App 5 - Organics'!F128</f>
        <v>6840.15</v>
      </c>
      <c r="P128" s="390">
        <f t="shared" si="29"/>
        <v>7.1423872592629714</v>
      </c>
      <c r="Q128" s="391">
        <f t="shared" si="30"/>
        <v>2.8689600754894986</v>
      </c>
      <c r="R128" s="392">
        <f>'App 5 - Organics'!J128</f>
        <v>0</v>
      </c>
      <c r="S128" s="393"/>
      <c r="T128" s="394"/>
      <c r="V128" s="395">
        <f>'App 1 - Services'!G128</f>
        <v>20791</v>
      </c>
      <c r="W128" s="396">
        <f>'App 1 - Services'!M128</f>
        <v>19475</v>
      </c>
      <c r="X128" s="397">
        <f>'App 1 - Services'!N128</f>
        <v>19475</v>
      </c>
      <c r="Y128" s="398">
        <f>'App 1 - Services'!O128</f>
        <v>18417</v>
      </c>
      <c r="Z128" s="392">
        <f>'App 1 - Services'!P128</f>
        <v>0</v>
      </c>
      <c r="AB128" s="399">
        <f>'App 1 - Services'!F128</f>
        <v>51760</v>
      </c>
      <c r="AC128" s="396">
        <f t="shared" si="31"/>
        <v>48483.767014573612</v>
      </c>
      <c r="AD128" s="397">
        <f t="shared" si="32"/>
        <v>48483.767014573612</v>
      </c>
      <c r="AE128" s="398">
        <f t="shared" si="33"/>
        <v>45849.835024770335</v>
      </c>
      <c r="AF128" s="392">
        <f t="shared" si="34"/>
        <v>0</v>
      </c>
      <c r="AG128" s="400"/>
      <c r="AH128" s="401">
        <f t="shared" si="24"/>
        <v>18417</v>
      </c>
      <c r="AI128" s="401">
        <f t="shared" si="25"/>
        <v>45849.835024770335</v>
      </c>
      <c r="AJ128" s="401">
        <f t="shared" si="26"/>
        <v>6840.15</v>
      </c>
      <c r="AK128" s="393">
        <f>(AJ128*1000)/AE128/52</f>
        <v>2.8689600754894986</v>
      </c>
      <c r="AL128" s="394"/>
    </row>
    <row r="129" spans="1:38" x14ac:dyDescent="0.2">
      <c r="A129" s="8">
        <v>18400</v>
      </c>
      <c r="B129" s="8" t="s">
        <v>177</v>
      </c>
      <c r="C129" s="8" t="s">
        <v>193</v>
      </c>
      <c r="D129" s="29" t="s">
        <v>4</v>
      </c>
      <c r="E129" s="381"/>
      <c r="F129" s="382">
        <f>'App 6 - Residual Waste'!F129</f>
        <v>11326.4</v>
      </c>
      <c r="G129" s="383">
        <f t="shared" si="22"/>
        <v>11.488147137864622</v>
      </c>
      <c r="H129" s="384">
        <f t="shared" si="23"/>
        <v>4.4478412833184215</v>
      </c>
      <c r="I129" s="385"/>
      <c r="J129" s="386"/>
      <c r="K129" s="387">
        <f>'App 4 - Recyclables'!F129</f>
        <v>4022.36</v>
      </c>
      <c r="L129" s="388">
        <f t="shared" si="27"/>
        <v>5.4066594620169797</v>
      </c>
      <c r="M129" s="388">
        <f t="shared" si="28"/>
        <v>2.09328474569601</v>
      </c>
      <c r="N129" s="381"/>
      <c r="O129" s="389">
        <f>'App 5 - Organics'!F129</f>
        <v>5545.6</v>
      </c>
      <c r="P129" s="390">
        <f t="shared" si="29"/>
        <v>9.5518274828619649</v>
      </c>
      <c r="Q129" s="391">
        <f t="shared" si="30"/>
        <v>3.6981605562292539</v>
      </c>
      <c r="R129" s="392">
        <f>'App 5 - Organics'!J129</f>
        <v>0</v>
      </c>
      <c r="S129" s="393"/>
      <c r="T129" s="394"/>
      <c r="V129" s="395">
        <f>'App 1 - Services'!G129</f>
        <v>20909</v>
      </c>
      <c r="W129" s="396">
        <f>'App 1 - Services'!M129</f>
        <v>18960.010000000002</v>
      </c>
      <c r="X129" s="397">
        <f>'App 1 - Services'!N129</f>
        <v>14307</v>
      </c>
      <c r="Y129" s="398">
        <f>'App 1 - Services'!O129</f>
        <v>11165</v>
      </c>
      <c r="Z129" s="392">
        <f>'App 1 - Services'!P129</f>
        <v>0</v>
      </c>
      <c r="AB129" s="399">
        <f>'App 1 - Services'!F129</f>
        <v>54005</v>
      </c>
      <c r="AC129" s="396">
        <f t="shared" si="31"/>
        <v>48971.033528624044</v>
      </c>
      <c r="AD129" s="397">
        <f t="shared" si="32"/>
        <v>36952.964512889186</v>
      </c>
      <c r="AE129" s="398">
        <f t="shared" si="33"/>
        <v>28837.6213592233</v>
      </c>
      <c r="AF129" s="392">
        <f t="shared" si="34"/>
        <v>0</v>
      </c>
      <c r="AG129" s="400"/>
      <c r="AH129" s="401">
        <f t="shared" si="24"/>
        <v>11165</v>
      </c>
      <c r="AI129" s="401">
        <f t="shared" si="25"/>
        <v>28837.6213592233</v>
      </c>
      <c r="AJ129" s="401">
        <f t="shared" si="26"/>
        <v>5545.6</v>
      </c>
      <c r="AK129" s="393">
        <f>(AJ129*1000)/AE129/52</f>
        <v>3.6981605562292539</v>
      </c>
      <c r="AL129" s="394"/>
    </row>
    <row r="130" spans="1:38" x14ac:dyDescent="0.2">
      <c r="A130" s="8">
        <v>18450</v>
      </c>
      <c r="B130" s="8" t="s">
        <v>178</v>
      </c>
      <c r="C130" s="8" t="s">
        <v>41</v>
      </c>
      <c r="D130" s="29" t="s">
        <v>2</v>
      </c>
      <c r="E130" s="381"/>
      <c r="F130" s="382">
        <f>'App 6 - Residual Waste'!F130</f>
        <v>39916</v>
      </c>
      <c r="G130" s="383">
        <f t="shared" si="22"/>
        <v>8.9208849188860118</v>
      </c>
      <c r="H130" s="384">
        <f t="shared" si="23"/>
        <v>3.6741554889811328</v>
      </c>
      <c r="I130" s="385"/>
      <c r="J130" s="386"/>
      <c r="K130" s="387">
        <f>'App 4 - Recyclables'!F130</f>
        <v>14437</v>
      </c>
      <c r="L130" s="388">
        <f t="shared" si="27"/>
        <v>3.2265461362350272</v>
      </c>
      <c r="M130" s="388">
        <f t="shared" si="28"/>
        <v>1.3288852288410817</v>
      </c>
      <c r="N130" s="381"/>
      <c r="O130" s="389">
        <f>'App 5 - Organics'!F130</f>
        <v>8986</v>
      </c>
      <c r="P130" s="390">
        <f t="shared" si="29"/>
        <v>4.9073576505847765</v>
      </c>
      <c r="Q130" s="391">
        <f t="shared" si="30"/>
        <v>2.0211442264116934</v>
      </c>
      <c r="R130" s="392">
        <f>'App 5 - Organics'!J130</f>
        <v>21565</v>
      </c>
      <c r="S130" s="393">
        <f t="shared" si="35"/>
        <v>8.1583132701500691</v>
      </c>
      <c r="T130" s="394">
        <f t="shared" si="36"/>
        <v>3.3600827445818671</v>
      </c>
      <c r="V130" s="395">
        <f>'App 1 - Services'!G130</f>
        <v>90526</v>
      </c>
      <c r="W130" s="396">
        <f>'App 1 - Services'!M130</f>
        <v>86047</v>
      </c>
      <c r="X130" s="397">
        <f>'App 1 - Services'!N130</f>
        <v>86047</v>
      </c>
      <c r="Y130" s="398">
        <f>'App 1 - Services'!O130</f>
        <v>35214</v>
      </c>
      <c r="Z130" s="392">
        <f>'App 1 - Services'!P130</f>
        <v>50833</v>
      </c>
      <c r="AB130" s="399">
        <f>'App 1 - Services'!F130</f>
        <v>219798</v>
      </c>
      <c r="AC130" s="396">
        <f t="shared" si="31"/>
        <v>208922.94485562161</v>
      </c>
      <c r="AD130" s="397">
        <f t="shared" si="32"/>
        <v>208922.94485562161</v>
      </c>
      <c r="AE130" s="398">
        <f t="shared" si="33"/>
        <v>85499.931202085587</v>
      </c>
      <c r="AF130" s="392">
        <f t="shared" si="34"/>
        <v>123423.01365353599</v>
      </c>
      <c r="AG130" s="400"/>
      <c r="AH130" s="401">
        <f t="shared" si="24"/>
        <v>86047</v>
      </c>
      <c r="AI130" s="401">
        <f t="shared" si="25"/>
        <v>208922.94485562158</v>
      </c>
      <c r="AJ130" s="401">
        <f t="shared" si="26"/>
        <v>30551</v>
      </c>
      <c r="AK130" s="393">
        <f>(AJ130*1000)/AE130/52</f>
        <v>6.8715754797578077</v>
      </c>
      <c r="AL130" s="394"/>
    </row>
    <row r="131" spans="1:38" x14ac:dyDescent="0.2">
      <c r="A131" s="8">
        <v>18500</v>
      </c>
      <c r="B131" s="8" t="s">
        <v>72</v>
      </c>
      <c r="C131" s="8" t="s">
        <v>18</v>
      </c>
      <c r="D131" s="29" t="s">
        <v>3</v>
      </c>
      <c r="E131" s="381"/>
      <c r="F131" s="382">
        <f>'App 6 - Residual Waste'!F131</f>
        <v>11087.37</v>
      </c>
      <c r="G131" s="383">
        <f t="shared" si="22"/>
        <v>8.0773820451624747</v>
      </c>
      <c r="H131" s="384">
        <f t="shared" si="23"/>
        <v>3.5876672754312371</v>
      </c>
      <c r="I131" s="385"/>
      <c r="J131" s="386"/>
      <c r="K131" s="387">
        <f>'App 4 - Recyclables'!F131</f>
        <v>6003.06</v>
      </c>
      <c r="L131" s="388">
        <f t="shared" si="27"/>
        <v>10.678333321474566</v>
      </c>
      <c r="M131" s="388">
        <f t="shared" si="28"/>
        <v>4.7429113541243471</v>
      </c>
      <c r="N131" s="381"/>
      <c r="O131" s="389">
        <f>'App 5 - Organics'!F131</f>
        <v>0</v>
      </c>
      <c r="P131" s="390"/>
      <c r="Q131" s="391"/>
      <c r="R131" s="392">
        <f>'App 5 - Organics'!J131</f>
        <v>4092.41</v>
      </c>
      <c r="S131" s="393">
        <f t="shared" si="35"/>
        <v>2.9814066866572833</v>
      </c>
      <c r="T131" s="394">
        <f t="shared" si="36"/>
        <v>1.3242279670154011</v>
      </c>
      <c r="V131" s="395">
        <f>'App 1 - Services'!G131</f>
        <v>26397</v>
      </c>
      <c r="W131" s="396">
        <f>'App 1 - Services'!M131</f>
        <v>26397</v>
      </c>
      <c r="X131" s="397">
        <f>'App 1 - Services'!N131</f>
        <v>10811</v>
      </c>
      <c r="Y131" s="398">
        <f>'App 1 - Services'!O131</f>
        <v>0</v>
      </c>
      <c r="Z131" s="392">
        <f>'App 1 - Services'!P131</f>
        <v>26397</v>
      </c>
      <c r="AB131" s="399">
        <f>'App 1 - Services'!F131</f>
        <v>59431</v>
      </c>
      <c r="AC131" s="396">
        <f t="shared" si="31"/>
        <v>59431</v>
      </c>
      <c r="AD131" s="397">
        <f t="shared" si="32"/>
        <v>24340.210667878928</v>
      </c>
      <c r="AE131" s="398">
        <f t="shared" si="33"/>
        <v>0</v>
      </c>
      <c r="AF131" s="392">
        <f t="shared" si="34"/>
        <v>59431</v>
      </c>
      <c r="AG131" s="400" t="s">
        <v>14</v>
      </c>
      <c r="AH131" s="401">
        <f t="shared" si="24"/>
        <v>26397</v>
      </c>
      <c r="AI131" s="401">
        <f t="shared" si="25"/>
        <v>59431</v>
      </c>
      <c r="AJ131" s="401">
        <f t="shared" si="26"/>
        <v>4092.41</v>
      </c>
      <c r="AK131" s="393"/>
      <c r="AL131" s="394">
        <f>(AJ131*1000)/AF131/52</f>
        <v>1.3242279670154011</v>
      </c>
    </row>
    <row r="132" spans="1:38" x14ac:dyDescent="0.2">
      <c r="A132" s="8">
        <v>18710</v>
      </c>
      <c r="B132" s="8" t="s">
        <v>179</v>
      </c>
      <c r="C132" s="8" t="s">
        <v>74</v>
      </c>
      <c r="D132" s="29" t="s">
        <v>1</v>
      </c>
      <c r="E132" s="381"/>
      <c r="F132" s="382">
        <f>'App 6 - Residual Waste'!F132</f>
        <v>2181</v>
      </c>
      <c r="G132" s="383">
        <f t="shared" si="22"/>
        <v>9.1397488978661343</v>
      </c>
      <c r="H132" s="384">
        <f t="shared" si="23"/>
        <v>4.1057898605332479</v>
      </c>
      <c r="I132" s="385"/>
      <c r="J132" s="386"/>
      <c r="K132" s="387">
        <f>'App 4 - Recyclables'!F132</f>
        <v>773</v>
      </c>
      <c r="L132" s="388">
        <f t="shared" si="27"/>
        <v>3.2323080268285747</v>
      </c>
      <c r="M132" s="388">
        <f t="shared" si="28"/>
        <v>1.4520286794499822</v>
      </c>
      <c r="N132" s="381"/>
      <c r="O132" s="389">
        <f>'App 5 - Organics'!F132</f>
        <v>0</v>
      </c>
      <c r="P132" s="390"/>
      <c r="Q132" s="391"/>
      <c r="R132" s="392">
        <f>'App 5 - Organics'!J132</f>
        <v>0</v>
      </c>
      <c r="S132" s="393"/>
      <c r="T132" s="394"/>
      <c r="V132" s="395">
        <f>'App 1 - Services'!G132</f>
        <v>7781</v>
      </c>
      <c r="W132" s="396">
        <f>'App 1 - Services'!M132</f>
        <v>4589</v>
      </c>
      <c r="X132" s="397">
        <f>'App 1 - Services'!N132</f>
        <v>4599</v>
      </c>
      <c r="Y132" s="398">
        <f>'App 1 - Services'!O132</f>
        <v>0</v>
      </c>
      <c r="Z132" s="392">
        <f>'App 1 - Services'!P132</f>
        <v>0</v>
      </c>
      <c r="AA132" s="2">
        <v>1</v>
      </c>
      <c r="AB132" s="399">
        <f>'App 1 - Services'!F132</f>
        <v>17321</v>
      </c>
      <c r="AC132" s="396">
        <f t="shared" si="31"/>
        <v>10215.405346356511</v>
      </c>
      <c r="AD132" s="397">
        <f t="shared" si="32"/>
        <v>10237.665981236345</v>
      </c>
      <c r="AE132" s="398">
        <f t="shared" si="33"/>
        <v>0</v>
      </c>
      <c r="AF132" s="392">
        <f t="shared" si="34"/>
        <v>0</v>
      </c>
      <c r="AG132" s="400"/>
      <c r="AH132" s="401">
        <f t="shared" si="24"/>
        <v>0</v>
      </c>
      <c r="AI132" s="401">
        <f t="shared" si="25"/>
        <v>0</v>
      </c>
      <c r="AJ132" s="401">
        <f t="shared" si="26"/>
        <v>0</v>
      </c>
      <c r="AK132" s="393"/>
      <c r="AL132" s="394"/>
    </row>
    <row r="133" spans="1:38" x14ac:dyDescent="0.2">
      <c r="A133" s="409"/>
      <c r="B133" s="409"/>
      <c r="C133" s="409"/>
      <c r="D133" s="409"/>
      <c r="E133" s="409"/>
      <c r="F133" s="409"/>
      <c r="G133" s="409"/>
      <c r="H133" s="409"/>
      <c r="I133" s="410"/>
      <c r="J133" s="409"/>
      <c r="K133" s="409"/>
      <c r="L133" s="409"/>
      <c r="M133" s="409"/>
      <c r="N133" s="409"/>
      <c r="O133" s="409"/>
      <c r="P133" s="411" t="s">
        <v>725</v>
      </c>
      <c r="Q133" s="412">
        <f>(O134+R134)*1000/(Y134+Z134)/52</f>
        <v>6.3334579700166103</v>
      </c>
      <c r="R133" s="409"/>
      <c r="S133" s="411" t="s">
        <v>725</v>
      </c>
      <c r="T133" s="412">
        <f>(O134+R134)*1000/(AE134+AF134)/52</f>
        <v>2.5511694630450075</v>
      </c>
      <c r="V133" s="413">
        <f>COUNTIF(V5:V132,"&gt;0")</f>
        <v>128</v>
      </c>
      <c r="W133" s="414">
        <f>COUNTIF(W5:W132,"&gt;0")</f>
        <v>128</v>
      </c>
      <c r="X133" s="415">
        <f>COUNTIF(X5:X132,"&gt;0")</f>
        <v>112</v>
      </c>
      <c r="Y133" s="416">
        <f>COUNTIF(Y5:Y132,"&gt;0")</f>
        <v>48</v>
      </c>
      <c r="Z133" s="587">
        <f>COUNTIF(Z5:Z132,"&gt;0")</f>
        <v>41</v>
      </c>
      <c r="AA133" s="2">
        <f>SUM(AA5:AA132)</f>
        <v>42</v>
      </c>
      <c r="AB133" s="417"/>
      <c r="AC133" s="414">
        <f>COUNTIF(AC5:AC132,"&gt;0")</f>
        <v>128</v>
      </c>
      <c r="AD133" s="415">
        <f>COUNTIF(AD5:AD132,"&gt;0")</f>
        <v>112</v>
      </c>
      <c r="AE133" s="416">
        <f>COUNTIF(AE5:AE132,"&gt;0")</f>
        <v>48</v>
      </c>
      <c r="AF133" s="587">
        <f>COUNTIF(AF5:AF132,"&gt;0")</f>
        <v>41</v>
      </c>
      <c r="AG133" s="418">
        <f>COUNTIF(AG5:AG132,"F")</f>
        <v>35</v>
      </c>
    </row>
    <row r="134" spans="1:38" x14ac:dyDescent="0.2">
      <c r="A134" s="696" t="s">
        <v>0</v>
      </c>
      <c r="B134" s="696"/>
      <c r="C134" s="696"/>
      <c r="D134" s="419"/>
      <c r="E134" s="353"/>
      <c r="F134" s="420">
        <f>SUM(F5:F132)</f>
        <v>1779223.3800000006</v>
      </c>
      <c r="G134" s="402"/>
      <c r="H134" s="402"/>
      <c r="I134" s="421"/>
      <c r="K134" s="423">
        <f>SUM(K5:K132)</f>
        <v>563595.23000000021</v>
      </c>
      <c r="L134" s="402"/>
      <c r="M134" s="424"/>
      <c r="N134" s="353"/>
      <c r="O134" s="425">
        <f>SUM(O5:O132)</f>
        <v>441004.07000000007</v>
      </c>
      <c r="P134" s="409"/>
      <c r="Q134" s="409"/>
      <c r="R134" s="426">
        <f>SUM(R5:R132)</f>
        <v>278236.53999999998</v>
      </c>
      <c r="S134" s="402"/>
      <c r="T134" s="424"/>
      <c r="V134" s="427">
        <f>SUM(V5:V132)</f>
        <v>3366330</v>
      </c>
      <c r="W134" s="428">
        <f>SUM(W5:W132)</f>
        <v>2941253.01</v>
      </c>
      <c r="X134" s="429">
        <f>SUM(X5:X132)</f>
        <v>2840157</v>
      </c>
      <c r="Y134" s="430">
        <f>SUM(Y5:Y132)</f>
        <v>1500315</v>
      </c>
      <c r="Z134" s="586">
        <f>SUM(Z5:Z132)</f>
        <v>683571</v>
      </c>
      <c r="AB134" s="431">
        <f>SUM(AB5:AB132)</f>
        <v>8166571</v>
      </c>
      <c r="AC134" s="428">
        <f>SUM(AC5:AC132)</f>
        <v>7265202.267859078</v>
      </c>
      <c r="AD134" s="429">
        <f>SUM(AD5:AD132)</f>
        <v>7047216.9158659521</v>
      </c>
      <c r="AE134" s="430">
        <f>SUM(AE5:AE132)</f>
        <v>3838555.9962081509</v>
      </c>
      <c r="AF134" s="586">
        <f>SUM(AF5:AF132)</f>
        <v>1583094.8947517639</v>
      </c>
      <c r="AG134" s="418">
        <f>COUNTIF(AG5:AG132,"NF")</f>
        <v>4</v>
      </c>
      <c r="AH134" s="432">
        <f>SUM(AH5:AH132)</f>
        <v>2183886</v>
      </c>
      <c r="AI134" s="432">
        <f>SUM(AI5:AI132)</f>
        <v>5421650.8909599166</v>
      </c>
      <c r="AJ134" s="432">
        <f>SUM(AJ5:AJ132)</f>
        <v>719240.61000000022</v>
      </c>
    </row>
    <row r="135" spans="1:38" ht="5.25" customHeight="1" x14ac:dyDescent="0.2">
      <c r="A135" s="433"/>
      <c r="B135" s="433"/>
      <c r="C135" s="433"/>
      <c r="D135" s="433"/>
      <c r="E135" s="433"/>
      <c r="F135" s="433"/>
      <c r="G135" s="433"/>
      <c r="H135" s="433"/>
      <c r="I135" s="434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AG135" s="435"/>
    </row>
    <row r="136" spans="1:38" x14ac:dyDescent="0.2">
      <c r="A136" s="694" t="s">
        <v>726</v>
      </c>
      <c r="B136" s="694"/>
      <c r="C136" s="694"/>
      <c r="D136" s="436"/>
      <c r="E136" s="437"/>
      <c r="F136" s="438"/>
      <c r="G136" s="439">
        <f>((F134*1000)/W134)/52</f>
        <v>11.63308090614389</v>
      </c>
      <c r="H136" s="440">
        <f>((F134*1000)/AC134)/52</f>
        <v>4.7095501225256351</v>
      </c>
      <c r="I136" s="441"/>
      <c r="J136" s="442"/>
      <c r="K136" s="438"/>
      <c r="L136" s="443">
        <f>((K134*1000)/X134)/52</f>
        <v>3.8161164357084179</v>
      </c>
      <c r="M136" s="589">
        <f>((K134*1000)/AD134)/52</f>
        <v>1.5379645521185876</v>
      </c>
      <c r="N136" s="437"/>
      <c r="O136" s="445"/>
      <c r="P136" s="446">
        <f>((O134*1000)/Y134)/52</f>
        <v>5.6527112639679009</v>
      </c>
      <c r="Q136" s="446">
        <f>((O134*1000)/AE134)/52</f>
        <v>2.2093848594048531</v>
      </c>
      <c r="R136" s="447"/>
      <c r="S136" s="448">
        <f>((R134*1000)/Z134)/52</f>
        <v>7.8275741544151121</v>
      </c>
      <c r="T136" s="448">
        <f>((R134*1000)/AF134)/52</f>
        <v>3.3799001626789438</v>
      </c>
      <c r="W136" s="588">
        <f>(F134*1000)/W134/52</f>
        <v>11.63308090614389</v>
      </c>
      <c r="X136" s="589">
        <f>(K134*1000)/X134/52</f>
        <v>3.8161164357084179</v>
      </c>
      <c r="Y136" s="590">
        <f>(O134*1000)/Y134/52</f>
        <v>5.6527112639679009</v>
      </c>
      <c r="Z136" s="591">
        <f>(R134*1000)/Z134/52</f>
        <v>7.8275741544151121</v>
      </c>
      <c r="AC136" s="588">
        <f>(F134*1000)/AC134/52</f>
        <v>4.7095501225256351</v>
      </c>
      <c r="AD136" s="589">
        <f>(K134*1000)/AD134/52</f>
        <v>1.5379645521185876</v>
      </c>
      <c r="AE136" s="590">
        <f>(O134*1000)/AE134/52</f>
        <v>2.2093848594048531</v>
      </c>
      <c r="AF136" s="591">
        <f>(R134*1000)/AF134/52</f>
        <v>3.3799001626789438</v>
      </c>
      <c r="AH136" s="168"/>
      <c r="AI136" s="168"/>
      <c r="AK136" s="591">
        <f>((AJ134*1000)/AH134)/52</f>
        <v>6.3334579700166111</v>
      </c>
      <c r="AL136" s="591">
        <f>((AJ134*1000)/AI134)/52</f>
        <v>2.5511694630450075</v>
      </c>
    </row>
    <row r="137" spans="1:38" ht="6" customHeight="1" x14ac:dyDescent="0.2">
      <c r="A137" s="450"/>
      <c r="B137" s="450"/>
      <c r="C137" s="450"/>
      <c r="D137" s="450"/>
      <c r="E137" s="450"/>
      <c r="F137" s="450"/>
      <c r="G137" s="450"/>
      <c r="H137" s="450"/>
      <c r="I137" s="451"/>
      <c r="J137" s="450"/>
      <c r="K137" s="450"/>
      <c r="L137" s="450"/>
      <c r="M137" s="450"/>
      <c r="N137" s="450"/>
      <c r="O137" s="450"/>
      <c r="P137" s="450"/>
      <c r="Q137" s="450"/>
      <c r="R137" s="450"/>
      <c r="S137" s="450"/>
      <c r="T137" s="450"/>
    </row>
    <row r="138" spans="1:38" x14ac:dyDescent="0.2">
      <c r="A138" s="694" t="s">
        <v>5</v>
      </c>
      <c r="B138" s="694"/>
      <c r="C138" s="694"/>
      <c r="D138" s="436"/>
      <c r="E138" s="452"/>
      <c r="F138" s="695" t="s">
        <v>699</v>
      </c>
      <c r="G138" s="695"/>
      <c r="H138" s="695"/>
      <c r="I138" s="695"/>
      <c r="J138" s="695"/>
      <c r="K138" s="695"/>
      <c r="L138" s="695"/>
      <c r="M138" s="695"/>
      <c r="N138" s="695"/>
      <c r="O138" s="695"/>
      <c r="P138" s="695"/>
      <c r="Q138" s="695"/>
      <c r="R138" s="695"/>
      <c r="S138" s="695"/>
      <c r="T138" s="695"/>
      <c r="W138" s="168">
        <f>W134/V134</f>
        <v>0.87372688060885295</v>
      </c>
      <c r="X138" s="168">
        <f>X134/V134</f>
        <v>0.84369535963497344</v>
      </c>
      <c r="AH138" s="29" t="s">
        <v>725</v>
      </c>
      <c r="AI138" s="29" t="s">
        <v>725</v>
      </c>
      <c r="AJ138" s="29" t="s">
        <v>725</v>
      </c>
      <c r="AK138" s="29" t="s">
        <v>725</v>
      </c>
      <c r="AL138" s="29" t="s">
        <v>725</v>
      </c>
    </row>
    <row r="139" spans="1:38" x14ac:dyDescent="0.2">
      <c r="B139" s="296"/>
      <c r="C139" s="296" t="s">
        <v>9</v>
      </c>
      <c r="D139" s="296"/>
      <c r="E139" s="454"/>
      <c r="F139" s="455">
        <f>SUMIF($D$5:$D$132,"S",F$5:F$132)</f>
        <v>1057327.4300000002</v>
      </c>
      <c r="G139" s="440">
        <f>((F139*1000)/W139)/52</f>
        <v>12.395840709525004</v>
      </c>
      <c r="H139" s="440">
        <f>((F139*1000)/AC139)/52</f>
        <v>4.6465405283711227</v>
      </c>
      <c r="I139" s="441"/>
      <c r="J139" s="456"/>
      <c r="K139" s="457">
        <f>SUMIF($D$5:$D$132,"S",K$5:K$132)</f>
        <v>307935.63999999996</v>
      </c>
      <c r="L139" s="589">
        <f>((K139*1000)/X139)/52</f>
        <v>3.6856169473084557</v>
      </c>
      <c r="M139" s="589">
        <f>((K139*1000)/AD139)/52</f>
        <v>1.3813549078977869</v>
      </c>
      <c r="N139" s="454"/>
      <c r="O139" s="458">
        <f>SUMIF($D$5:$D$132,"S",O$5:O$132)</f>
        <v>289188.90000000002</v>
      </c>
      <c r="P139" s="412">
        <f>((O139*1000)/Y139)/52</f>
        <v>5.3964997093765135</v>
      </c>
      <c r="Q139" s="446">
        <f>((O139*1000)/AE139)/52</f>
        <v>2.0236161357155238</v>
      </c>
      <c r="R139" s="459">
        <f>SUMIF($D$5:$D$132,"S",R$5:R$132)</f>
        <v>48583.53</v>
      </c>
      <c r="S139" s="449">
        <f>((R139*1000)/Z139)/52</f>
        <v>6.1160409908626088</v>
      </c>
      <c r="T139" s="448">
        <f>((R139*1000)/AF139)/52</f>
        <v>2.3740726000694981</v>
      </c>
      <c r="V139" s="427">
        <f>SUMIF($D$5:$D$132,"S",V$5:V$132)</f>
        <v>1832610</v>
      </c>
      <c r="W139" s="455">
        <f>SUMIF($D$5:$D$132,"S",W$5:W$132)</f>
        <v>1640326</v>
      </c>
      <c r="X139" s="460">
        <f>SUMIF($D$5:$D$132,"S",X$5:X$132)</f>
        <v>1606743</v>
      </c>
      <c r="Y139" s="458">
        <f>SUMIF($D$5:$D$132,"S",Y$5:Y$132)</f>
        <v>1030543</v>
      </c>
      <c r="Z139" s="459">
        <f>SUMIF($D$5:$D$132,"S",Z$5:Z$132)</f>
        <v>152762</v>
      </c>
      <c r="AB139" s="427">
        <f>SUMIF($D$5:$D$132,"S",AB$5:AB$132)</f>
        <v>4820381</v>
      </c>
      <c r="AC139" s="455">
        <f>SUMIF($D$5:$D$132,"S",AC$5:AC$132)</f>
        <v>4375991.0590557707</v>
      </c>
      <c r="AD139" s="460">
        <f>SUMIF($D$5:$D$132,"S",AD$5:AD$132)</f>
        <v>4286978.8183410252</v>
      </c>
      <c r="AE139" s="458">
        <f>SUMIF($D$5:$D$132,"S",AE$5:AE$132)</f>
        <v>2748211.4329126901</v>
      </c>
      <c r="AF139" s="459">
        <f>SUMIF($D$5:$D$132,"S",AF$5:AF$132)</f>
        <v>393542.5790343578</v>
      </c>
      <c r="AH139" s="458">
        <f>SUMIF($D$5:$D$132,"S",AH$5:AH$132)</f>
        <v>1183305</v>
      </c>
      <c r="AI139" s="458">
        <f>SUMIF($D$5:$D$132,"S",AI$5:AI$132)</f>
        <v>3141754.0119470479</v>
      </c>
      <c r="AJ139" s="459">
        <f>SUMIF($D$5:$D$132,"S",AJ$5:AJ$132)</f>
        <v>337772.43</v>
      </c>
      <c r="AK139" s="591">
        <f>((AJ139*1000)/AH139)/52</f>
        <v>5.4893908619047105</v>
      </c>
      <c r="AL139" s="591">
        <f>((AJ139*1000)/AI139)/52</f>
        <v>2.0675150343233279</v>
      </c>
    </row>
    <row r="140" spans="1:38" x14ac:dyDescent="0.2">
      <c r="B140" s="296"/>
      <c r="C140" s="296" t="s">
        <v>10</v>
      </c>
      <c r="D140" s="296"/>
      <c r="E140" s="461"/>
      <c r="F140" s="455">
        <f>SUMIF($D$5:$D$132,"E",F$5:F$132)</f>
        <v>341847.7</v>
      </c>
      <c r="G140" s="440">
        <f>((F140*1000)/W140)/52</f>
        <v>11.438165700034505</v>
      </c>
      <c r="H140" s="440">
        <f>((F140*1000)/AC140)/52</f>
        <v>4.8216639333325819</v>
      </c>
      <c r="I140" s="441"/>
      <c r="J140" s="456"/>
      <c r="K140" s="457">
        <f>SUMIF($D$5:$D$132,"E",K$5:K$132)</f>
        <v>117830.15</v>
      </c>
      <c r="L140" s="589">
        <f>((K140*1000)/X140)/52</f>
        <v>4.000862376078004</v>
      </c>
      <c r="M140" s="589">
        <f>((K140*1000)/AD140)/52</f>
        <v>1.6878287666834089</v>
      </c>
      <c r="N140" s="461"/>
      <c r="O140" s="462">
        <f>SUMIF($D$5:$D$132,"E",O$5:O$132)</f>
        <v>98361.659999999989</v>
      </c>
      <c r="P140" s="412">
        <f>((O140*1000)/Y140)/52</f>
        <v>6.2709741930432878</v>
      </c>
      <c r="Q140" s="446">
        <f>((O140*1000)/AE140)/52</f>
        <v>2.5477529456550831</v>
      </c>
      <c r="R140" s="463">
        <f>SUMIF($D$5:$D$132,"E",R$5:R$132)</f>
        <v>80425.91</v>
      </c>
      <c r="S140" s="449">
        <f>((R140*1000)/Z140)/52</f>
        <v>8.8981636743506982</v>
      </c>
      <c r="T140" s="448">
        <f>((R140*1000)/AF140)/52</f>
        <v>3.721141506169511</v>
      </c>
      <c r="V140" s="427">
        <f>SUMIF($D$5:$D$132,"E",V$5:V$132)</f>
        <v>631285</v>
      </c>
      <c r="W140" s="455">
        <f>SUMIF($D$5:$D$132,"E",W$5:W$132)</f>
        <v>574742</v>
      </c>
      <c r="X140" s="460">
        <f>SUMIF($D$5:$D$132,"E",X$5:X$132)</f>
        <v>566369</v>
      </c>
      <c r="Y140" s="462">
        <f>SUMIF($D$5:$D$132,"E",Y$5:Y$132)</f>
        <v>301639</v>
      </c>
      <c r="Z140" s="459">
        <f>SUMIF($D$5:$D$132,"E",Z$5:Z$132)</f>
        <v>173817</v>
      </c>
      <c r="AB140" s="427">
        <f>SUMIF($D$5:$D$132,"E",AB$5:AB$132)</f>
        <v>1488909</v>
      </c>
      <c r="AC140" s="455">
        <f>SUMIF($D$5:$D$132,"E",AC$5:AC$132)</f>
        <v>1363428.5428568833</v>
      </c>
      <c r="AD140" s="460">
        <f>SUMIF($D$5:$D$132,"E",AD$5:AD$132)</f>
        <v>1342532.1737640207</v>
      </c>
      <c r="AE140" s="462">
        <f>SUMIF($D$5:$D$132,"E",AE$5:AE$132)</f>
        <v>742446.54994561116</v>
      </c>
      <c r="AF140" s="459">
        <f>SUMIF($D$5:$D$132,"E",AF$5:AF$132)</f>
        <v>415639.15610850195</v>
      </c>
      <c r="AH140" s="462">
        <f>SUMIF($D$5:$D$132,"E",AH$5:AH$132)</f>
        <v>475456</v>
      </c>
      <c r="AI140" s="462">
        <f>SUMIF($D$5:$D$132,"E",AI$5:AI$132)</f>
        <v>1158085.7060541131</v>
      </c>
      <c r="AJ140" s="463">
        <f>SUMIF($D$5:$D$132,"E",AJ$5:AJ$132)</f>
        <v>178787.56999999998</v>
      </c>
      <c r="AK140" s="591">
        <f>((AJ140*1000)/AH140)/52</f>
        <v>7.2314209937407448</v>
      </c>
      <c r="AL140" s="591">
        <f>((AJ140*1000)/AI140)/52</f>
        <v>2.9688843252498822</v>
      </c>
    </row>
    <row r="141" spans="1:38" x14ac:dyDescent="0.2">
      <c r="B141" s="296"/>
      <c r="C141" s="296" t="s">
        <v>11</v>
      </c>
      <c r="D141" s="296"/>
      <c r="E141" s="461"/>
      <c r="F141" s="464">
        <f>SUMIF($D$5:$D$132,"R",F$5:F$132)</f>
        <v>156097.65</v>
      </c>
      <c r="G141" s="440">
        <f>((F141*1000)/W141)/52</f>
        <v>9.2286246340192211</v>
      </c>
      <c r="H141" s="440">
        <f>((F141*1000)/AC141)/52</f>
        <v>4.2306543919819211</v>
      </c>
      <c r="I141" s="441"/>
      <c r="J141" s="456"/>
      <c r="K141" s="457">
        <f>SUMIF($D$5:$D$132,"R",K$5:K$132)</f>
        <v>70102.340000000011</v>
      </c>
      <c r="L141" s="589">
        <f>((K141*1000)/X141)/52</f>
        <v>4.2628091619244248</v>
      </c>
      <c r="M141" s="589">
        <f>((K141*1000)/AD141)/52</f>
        <v>1.9592050252599871</v>
      </c>
      <c r="N141" s="461"/>
      <c r="O141" s="465">
        <f>SUMIF($D$5:$D$132,"R",O$5:O$132)</f>
        <v>32586.61</v>
      </c>
      <c r="P141" s="412">
        <f>((O141*1000)/Y141)/52</f>
        <v>6.5885041993699929</v>
      </c>
      <c r="Q141" s="446">
        <f>((O141*1000)/AE141)/52</f>
        <v>3.1517663165446126</v>
      </c>
      <c r="R141" s="466">
        <f>SUMIF($D$5:$D$132,"R",R$5:R$132)</f>
        <v>78844.73000000001</v>
      </c>
      <c r="S141" s="449">
        <f>((R141*1000)/Z141)/52</f>
        <v>8.7331229564123269</v>
      </c>
      <c r="T141" s="448">
        <f>((R141*1000)/AF141)/52</f>
        <v>3.9270377552826905</v>
      </c>
      <c r="V141" s="427">
        <f>SUMIF($D$5:$D$132,"R",V$5:V$132)</f>
        <v>379256</v>
      </c>
      <c r="W141" s="464">
        <f>SUMIF($D$5:$D$132,"R",W$5:W$132)</f>
        <v>325279.01</v>
      </c>
      <c r="X141" s="460">
        <f>SUMIF($D$5:$D$132,"R",X$5:X$132)</f>
        <v>316252</v>
      </c>
      <c r="Y141" s="465">
        <f>SUMIF($D$5:$D$132,"R",Y$5:Y$132)</f>
        <v>95115</v>
      </c>
      <c r="Z141" s="459">
        <f>SUMIF($D$5:$D$132,"R",Z$5:Z$132)</f>
        <v>173620</v>
      </c>
      <c r="AB141" s="427">
        <f>SUMIF($D$5:$D$132,"R",AB$5:AB$132)</f>
        <v>824731</v>
      </c>
      <c r="AC141" s="464">
        <f>SUMIF($D$5:$D$132,"R",AC$5:AC$132)</f>
        <v>709554.03265855159</v>
      </c>
      <c r="AD141" s="460">
        <f>SUMIF($D$5:$D$132,"R",AD$5:AD$132)</f>
        <v>688096.39914945967</v>
      </c>
      <c r="AE141" s="465">
        <f>SUMIF($D$5:$D$132,"R",AE$5:AE$132)</f>
        <v>198829.9619909992</v>
      </c>
      <c r="AF141" s="459">
        <f>SUMIF($D$5:$D$132,"R",AF$5:AF$132)</f>
        <v>386103.95473092672</v>
      </c>
      <c r="AH141" s="465">
        <f>SUMIF($D$5:$D$132,"R",AH$5:AH$132)</f>
        <v>268735</v>
      </c>
      <c r="AI141" s="465">
        <f>SUMIF($D$5:$D$132,"R",AI$5:AI$132)</f>
        <v>584933.91672192595</v>
      </c>
      <c r="AJ141" s="466">
        <f>SUMIF($D$5:$D$132,"R",AJ$5:AJ$132)</f>
        <v>111431.34000000001</v>
      </c>
      <c r="AK141" s="591">
        <f>((AJ141*1000)/AH141)/52</f>
        <v>7.9740650998767739</v>
      </c>
      <c r="AL141" s="591">
        <f>((AJ141*1000)/AI141)/52</f>
        <v>3.6635085149868507</v>
      </c>
    </row>
    <row r="142" spans="1:38" x14ac:dyDescent="0.2">
      <c r="B142" s="296"/>
      <c r="C142" s="296" t="s">
        <v>12</v>
      </c>
      <c r="D142" s="296"/>
      <c r="E142" s="467"/>
      <c r="F142" s="455">
        <f>SUMIF($D$5:$D$132,"N",F$5:F$132)</f>
        <v>223950.6</v>
      </c>
      <c r="G142" s="440">
        <f>((F142*1000)/W142)/52</f>
        <v>10.742523952478406</v>
      </c>
      <c r="H142" s="440">
        <f>((F142*1000)/AC142)/52</f>
        <v>5.2763920941418068</v>
      </c>
      <c r="I142" s="441"/>
      <c r="J142" s="456"/>
      <c r="K142" s="457">
        <f>SUMIF($D$5:$D$132,"N",K$5:K$132)</f>
        <v>67727.099999999991</v>
      </c>
      <c r="L142" s="589">
        <f>((K142*1000)/X142)/52</f>
        <v>3.7128569577193113</v>
      </c>
      <c r="M142" s="589">
        <f>((K142*1000)/AD142)/52</f>
        <v>1.7851250385784643</v>
      </c>
      <c r="N142" s="467"/>
      <c r="O142" s="465">
        <f>SUMIF($D$5:$D$132,"N",O$5:O$132)</f>
        <v>20866.900000000001</v>
      </c>
      <c r="P142" s="412">
        <f>((O142*1000)/Y142)/52</f>
        <v>5.4957207601076243</v>
      </c>
      <c r="Q142" s="446">
        <f>((O142*1000)/AE142)/52</f>
        <v>2.6919687673083144</v>
      </c>
      <c r="R142" s="466">
        <f>SUMIF($D$5:$D$132,"N",R$5:R$132)</f>
        <v>70382.37</v>
      </c>
      <c r="S142" s="449">
        <f>((R142*1000)/Z142)/52</f>
        <v>7.3812093197686419</v>
      </c>
      <c r="T142" s="448">
        <f>((R142*1000)/AF142)/52</f>
        <v>3.4901366402855016</v>
      </c>
      <c r="V142" s="427">
        <f>SUMIF($D$5:$D$132,"N",V$5:V$132)</f>
        <v>523179</v>
      </c>
      <c r="W142" s="455">
        <f>SUMIF($D$5:$D$132,"N",W$5:W$132)</f>
        <v>400906</v>
      </c>
      <c r="X142" s="460">
        <f>SUMIF($D$5:$D$132,"N",X$5:X$132)</f>
        <v>350793</v>
      </c>
      <c r="Y142" s="465">
        <f>SUMIF($D$5:$D$132,"N",Y$5:Y$132)</f>
        <v>73018</v>
      </c>
      <c r="Z142" s="459">
        <f>SUMIF($D$5:$D$132,"N",Z$5:Z$132)</f>
        <v>183372</v>
      </c>
      <c r="AB142" s="427">
        <f>SUMIF($D$5:$D$132,"N",AB$5:AB$132)</f>
        <v>1032550</v>
      </c>
      <c r="AC142" s="455">
        <f>SUMIF($D$5:$D$132,"N",AC$5:AC$132)</f>
        <v>816228.63328787347</v>
      </c>
      <c r="AD142" s="460">
        <f>SUMIF($D$5:$D$132,"N",AD$5:AD$132)</f>
        <v>729609.52461145038</v>
      </c>
      <c r="AE142" s="465">
        <f>SUMIF($D$5:$D$132,"N",AE$5:AE$132)</f>
        <v>149068.05135885096</v>
      </c>
      <c r="AF142" s="459">
        <f>SUMIF($D$5:$D$132,"N",AF$5:AF$132)</f>
        <v>387809.20487797726</v>
      </c>
      <c r="AH142" s="465">
        <f>SUMIF($D$5:$D$132,"N",AH$5:AH$132)</f>
        <v>256390</v>
      </c>
      <c r="AI142" s="465">
        <f>SUMIF($D$5:$D$132,"N",AI$5:AI$132)</f>
        <v>536877.25623682817</v>
      </c>
      <c r="AJ142" s="466">
        <f>SUMIF($D$5:$D$132,"N",AJ$5:AJ$132)</f>
        <v>91249.27</v>
      </c>
      <c r="AK142" s="591">
        <f>((AJ142*1000)/AH142)/52</f>
        <v>6.8442359446396264</v>
      </c>
      <c r="AL142" s="591">
        <f>((AJ142*1000)/AI142)/52</f>
        <v>3.2685192629431792</v>
      </c>
    </row>
    <row r="143" spans="1:38" x14ac:dyDescent="0.2">
      <c r="A143" s="468"/>
      <c r="B143" s="697"/>
      <c r="C143" s="697"/>
      <c r="D143" s="697"/>
      <c r="AJ143" s="4"/>
    </row>
    <row r="144" spans="1:38" s="2" customFormat="1" ht="11.25" x14ac:dyDescent="0.2">
      <c r="A144" s="470"/>
      <c r="B144" s="296"/>
      <c r="C144" s="296" t="s">
        <v>9</v>
      </c>
      <c r="D144" s="471"/>
      <c r="E144" s="472"/>
      <c r="F144" s="473">
        <f>F139/$F$134</f>
        <v>0.59426345330511554</v>
      </c>
      <c r="G144" s="31">
        <f>G139*52</f>
        <v>644.5837168953002</v>
      </c>
      <c r="H144" s="31">
        <f>H139*52</f>
        <v>241.62010747529837</v>
      </c>
      <c r="I144" s="125"/>
      <c r="J144" s="474"/>
      <c r="K144" s="473">
        <f>K139/$K$134</f>
        <v>0.54637729989304529</v>
      </c>
      <c r="L144" s="31">
        <f>L139*52</f>
        <v>191.65208126003969</v>
      </c>
      <c r="M144" s="31">
        <f>M139*52</f>
        <v>71.830455210684917</v>
      </c>
      <c r="N144" s="472"/>
      <c r="O144" s="473">
        <f>O139/$O$134</f>
        <v>0.65575109091396822</v>
      </c>
      <c r="P144" s="31">
        <f t="shared" ref="P144:Q147" si="39">P139*52</f>
        <v>280.6179848875787</v>
      </c>
      <c r="Q144" s="31">
        <f t="shared" si="39"/>
        <v>105.22803905720724</v>
      </c>
      <c r="R144" s="473">
        <f>R139/$R$134</f>
        <v>0.174612328057271</v>
      </c>
      <c r="S144" s="31">
        <f t="shared" ref="S144:T147" si="40">S139*52</f>
        <v>318.03413152485564</v>
      </c>
      <c r="T144" s="31">
        <f t="shared" si="40"/>
        <v>123.45177520361389</v>
      </c>
      <c r="U144" s="296"/>
      <c r="V144" s="296" t="s">
        <v>8</v>
      </c>
      <c r="W144" s="168">
        <f>W134/V134</f>
        <v>0.87372688060885295</v>
      </c>
      <c r="X144" s="168">
        <f>X134/V134</f>
        <v>0.84369535963497344</v>
      </c>
      <c r="Y144" s="168">
        <f>Y134/V134</f>
        <v>0.44568268708058922</v>
      </c>
      <c r="Z144" s="168">
        <f>Z134/V134</f>
        <v>0.20306119720882979</v>
      </c>
    </row>
    <row r="145" spans="1:36" s="2" customFormat="1" ht="11.25" x14ac:dyDescent="0.2">
      <c r="B145" s="296"/>
      <c r="C145" s="296" t="s">
        <v>10</v>
      </c>
      <c r="E145" s="472"/>
      <c r="F145" s="473">
        <f>F140/$F$134</f>
        <v>0.19213309798121014</v>
      </c>
      <c r="G145" s="31">
        <f t="shared" ref="G145:H147" si="41">G140*52</f>
        <v>594.78461640179421</v>
      </c>
      <c r="H145" s="31">
        <f t="shared" si="41"/>
        <v>250.72652453329425</v>
      </c>
      <c r="I145" s="125"/>
      <c r="J145" s="474"/>
      <c r="K145" s="473">
        <f>K140/$K$134</f>
        <v>0.20906874957050284</v>
      </c>
      <c r="L145" s="31">
        <f t="shared" ref="L145:M147" si="42">L140*52</f>
        <v>208.04484355605621</v>
      </c>
      <c r="M145" s="31">
        <f t="shared" si="42"/>
        <v>87.767095867537265</v>
      </c>
      <c r="N145" s="472"/>
      <c r="O145" s="473">
        <f>O140/$O$134</f>
        <v>0.22304025448109804</v>
      </c>
      <c r="P145" s="31">
        <f t="shared" si="39"/>
        <v>326.09065803825098</v>
      </c>
      <c r="Q145" s="31">
        <f t="shared" si="39"/>
        <v>132.48315317406431</v>
      </c>
      <c r="R145" s="473">
        <f>R140/$R$134</f>
        <v>0.28905588748336219</v>
      </c>
      <c r="S145" s="31">
        <f t="shared" si="40"/>
        <v>462.70451106623631</v>
      </c>
      <c r="T145" s="31">
        <f t="shared" si="40"/>
        <v>193.49935832081457</v>
      </c>
      <c r="U145" s="296"/>
      <c r="V145" s="296" t="s">
        <v>9</v>
      </c>
      <c r="W145" s="168">
        <f>W139/$V139</f>
        <v>0.89507642106067298</v>
      </c>
      <c r="X145" s="168">
        <f>X139/$V139</f>
        <v>0.87675119092441922</v>
      </c>
      <c r="Y145" s="168">
        <f>Y139/$V139</f>
        <v>0.56233623084016782</v>
      </c>
      <c r="Z145" s="168">
        <f>Z139/$V139</f>
        <v>8.3357615641080213E-2</v>
      </c>
    </row>
    <row r="146" spans="1:36" s="2" customFormat="1" ht="11.25" x14ac:dyDescent="0.2">
      <c r="B146" s="296"/>
      <c r="C146" s="296" t="s">
        <v>11</v>
      </c>
      <c r="E146" s="472"/>
      <c r="F146" s="473">
        <f>F141/$F$134</f>
        <v>8.773358744869908E-2</v>
      </c>
      <c r="G146" s="31">
        <f t="shared" si="41"/>
        <v>479.88848096899949</v>
      </c>
      <c r="H146" s="31">
        <f t="shared" si="41"/>
        <v>219.99402838305988</v>
      </c>
      <c r="I146" s="125"/>
      <c r="J146" s="474"/>
      <c r="K146" s="473">
        <f>K141/$K$134</f>
        <v>0.12438419679314884</v>
      </c>
      <c r="L146" s="31">
        <f>L141*52</f>
        <v>221.66607642007008</v>
      </c>
      <c r="M146" s="31">
        <f t="shared" si="42"/>
        <v>101.87866131351933</v>
      </c>
      <c r="N146" s="472"/>
      <c r="O146" s="473">
        <f>O141/$O$134</f>
        <v>7.3891857732741553E-2</v>
      </c>
      <c r="P146" s="31">
        <f t="shared" si="39"/>
        <v>342.60221836723963</v>
      </c>
      <c r="Q146" s="31">
        <f t="shared" si="39"/>
        <v>163.89184846031986</v>
      </c>
      <c r="R146" s="473">
        <f>R141/$R$134</f>
        <v>0.28337302498083111</v>
      </c>
      <c r="S146" s="31">
        <f t="shared" si="40"/>
        <v>454.12239373344102</v>
      </c>
      <c r="T146" s="31">
        <f t="shared" si="40"/>
        <v>204.20596327469991</v>
      </c>
      <c r="U146" s="296"/>
      <c r="V146" s="296" t="s">
        <v>10</v>
      </c>
      <c r="W146" s="168">
        <f>W140/$V140</f>
        <v>0.91043189684532344</v>
      </c>
      <c r="X146" s="168">
        <f t="shared" ref="X146:Z148" si="43">X140/$V140</f>
        <v>0.89716847382719378</v>
      </c>
      <c r="Y146" s="168">
        <f t="shared" si="43"/>
        <v>0.47781746754635385</v>
      </c>
      <c r="Z146" s="168">
        <f t="shared" si="43"/>
        <v>0.27533839707897384</v>
      </c>
    </row>
    <row r="147" spans="1:36" s="2" customFormat="1" ht="11.25" x14ac:dyDescent="0.2">
      <c r="B147" s="296"/>
      <c r="C147" s="296" t="s">
        <v>12</v>
      </c>
      <c r="E147" s="472"/>
      <c r="F147" s="473">
        <f>F142/$F$134</f>
        <v>0.12586986126497501</v>
      </c>
      <c r="G147" s="31">
        <f>G142*52</f>
        <v>558.61124552887713</v>
      </c>
      <c r="H147" s="31">
        <f t="shared" si="41"/>
        <v>274.37238889537394</v>
      </c>
      <c r="I147" s="125"/>
      <c r="J147" s="474"/>
      <c r="K147" s="473">
        <f>K142/$K$134</f>
        <v>0.12016975374330256</v>
      </c>
      <c r="L147" s="31">
        <f t="shared" si="42"/>
        <v>193.0685618014042</v>
      </c>
      <c r="M147" s="31">
        <f t="shared" si="42"/>
        <v>92.826502006080148</v>
      </c>
      <c r="N147" s="472"/>
      <c r="O147" s="473">
        <f>O142/$O$134</f>
        <v>4.7316796872192125E-2</v>
      </c>
      <c r="P147" s="31">
        <f t="shared" si="39"/>
        <v>285.77747952559645</v>
      </c>
      <c r="Q147" s="31">
        <f t="shared" si="39"/>
        <v>139.98237590003234</v>
      </c>
      <c r="R147" s="473">
        <f>R142/$R$134</f>
        <v>0.2529587594785358</v>
      </c>
      <c r="S147" s="31">
        <f t="shared" si="40"/>
        <v>383.82288462796936</v>
      </c>
      <c r="T147" s="31">
        <f t="shared" si="40"/>
        <v>181.48710529484609</v>
      </c>
      <c r="U147" s="296"/>
      <c r="V147" s="296" t="s">
        <v>11</v>
      </c>
      <c r="W147" s="168">
        <f>W141/$V141</f>
        <v>0.85767663530702221</v>
      </c>
      <c r="X147" s="168">
        <f t="shared" si="43"/>
        <v>0.83387474423608332</v>
      </c>
      <c r="Y147" s="168">
        <f t="shared" si="43"/>
        <v>0.25079365916425844</v>
      </c>
      <c r="Z147" s="168">
        <f t="shared" si="43"/>
        <v>0.45779104351678024</v>
      </c>
    </row>
    <row r="148" spans="1:36" s="2" customFormat="1" ht="11.25" x14ac:dyDescent="0.2">
      <c r="C148" s="296" t="s">
        <v>8</v>
      </c>
      <c r="E148" s="472"/>
      <c r="G148" s="31">
        <f>G136*52</f>
        <v>604.92020711948226</v>
      </c>
      <c r="H148" s="31">
        <f>H136*52</f>
        <v>244.89660637133304</v>
      </c>
      <c r="I148" s="125"/>
      <c r="J148" s="474"/>
      <c r="L148" s="31">
        <f>L136*52</f>
        <v>198.43805465683772</v>
      </c>
      <c r="M148" s="31">
        <f>M136*52</f>
        <v>79.974156710166554</v>
      </c>
      <c r="N148" s="472"/>
      <c r="O148" s="125"/>
      <c r="P148" s="31">
        <f>P136*52</f>
        <v>293.94098572633084</v>
      </c>
      <c r="Q148" s="31">
        <f>Q136*52</f>
        <v>114.88801268905236</v>
      </c>
      <c r="R148" s="125"/>
      <c r="S148" s="31">
        <f>S136*52</f>
        <v>407.03385602958582</v>
      </c>
      <c r="T148" s="31">
        <f>T136*52</f>
        <v>175.75480845930508</v>
      </c>
      <c r="V148" s="296" t="s">
        <v>12</v>
      </c>
      <c r="W148" s="168">
        <f>W142/$V142</f>
        <v>0.76628840224856121</v>
      </c>
      <c r="X148" s="168">
        <f t="shared" si="43"/>
        <v>0.67050282981541687</v>
      </c>
      <c r="Y148" s="168">
        <f t="shared" si="43"/>
        <v>0.139565999399823</v>
      </c>
      <c r="Z148" s="168">
        <f>Z142/$V142</f>
        <v>0.35049571943828023</v>
      </c>
      <c r="AC148" s="4"/>
    </row>
    <row r="149" spans="1:36" s="2" customFormat="1" ht="11.25" x14ac:dyDescent="0.2">
      <c r="E149" s="472"/>
      <c r="I149" s="125"/>
      <c r="J149" s="474"/>
      <c r="L149" s="31"/>
      <c r="M149" s="31"/>
      <c r="N149" s="472"/>
      <c r="O149" s="125"/>
      <c r="P149" s="125"/>
      <c r="Q149" s="125"/>
      <c r="R149" s="125"/>
      <c r="V149" s="349"/>
      <c r="X149" s="168"/>
      <c r="Z149" s="168"/>
      <c r="AC149" s="168"/>
    </row>
    <row r="150" spans="1:36" x14ac:dyDescent="0.2">
      <c r="O150" s="296"/>
      <c r="P150" s="2"/>
      <c r="Q150" s="2"/>
      <c r="R150" s="2"/>
      <c r="S150" s="2"/>
      <c r="T150" s="2"/>
      <c r="V150" s="296" t="s">
        <v>8</v>
      </c>
      <c r="W150" s="2">
        <f>SUM(W151:W154)</f>
        <v>128</v>
      </c>
      <c r="X150" s="2">
        <f>SUM(X151:X154)</f>
        <v>112</v>
      </c>
      <c r="Y150" s="2">
        <f>SUM(Y151:Y154)</f>
        <v>48</v>
      </c>
      <c r="Z150" s="2">
        <f>SUM(Z151:Z154)</f>
        <v>41</v>
      </c>
    </row>
    <row r="151" spans="1:36" x14ac:dyDescent="0.2">
      <c r="O151" s="296"/>
      <c r="P151" s="2"/>
      <c r="Q151" s="2"/>
      <c r="R151" s="2"/>
      <c r="S151" s="2"/>
      <c r="T151" s="2"/>
      <c r="V151" s="296" t="s">
        <v>9</v>
      </c>
      <c r="W151" s="2">
        <f>COUNTIFS($D$5:$D$132,"S",W$5:W$132,"&gt;0")</f>
        <v>30</v>
      </c>
      <c r="X151" s="2">
        <f>COUNTIFS($D$5:$D$132,"S",X$5:X$132,"&gt;0")</f>
        <v>30</v>
      </c>
      <c r="Y151" s="2">
        <f>COUNTIFS($D$5:$D$132,"S",Y$5:Y$132,"&gt;0")</f>
        <v>25</v>
      </c>
      <c r="Z151" s="2">
        <f>COUNTIFS($D$5:$D$132,"S",Z$5:Z$132,"&gt;0")</f>
        <v>3</v>
      </c>
    </row>
    <row r="152" spans="1:36" x14ac:dyDescent="0.2">
      <c r="V152" s="296" t="s">
        <v>10</v>
      </c>
      <c r="W152" s="2">
        <f>COUNTIFS($D$5:$D$132,"E",W$5:W$132,"&gt;0")</f>
        <v>12</v>
      </c>
      <c r="X152" s="2">
        <f>COUNTIFS($D$5:$D$132,"E",X$5:X$132,"&gt;0")</f>
        <v>12</v>
      </c>
      <c r="Y152" s="2">
        <f>COUNTIFS($D$5:$D$132,"E",Y$5:Y$132,"&gt;0")</f>
        <v>7</v>
      </c>
      <c r="Z152" s="2">
        <f>COUNTIFS($D$5:$D$132,"E",Z$5:Z$132,"&gt;0")</f>
        <v>4</v>
      </c>
    </row>
    <row r="153" spans="1:36" x14ac:dyDescent="0.2">
      <c r="V153" s="296" t="s">
        <v>11</v>
      </c>
      <c r="W153" s="2">
        <f>COUNTIFS($D$5:$D$132,"R",W$5:W$132,"&gt;0")</f>
        <v>19</v>
      </c>
      <c r="X153" s="2">
        <f>COUNTIFS($D$5:$D$132,"R",X$5:X$132,"&gt;0")</f>
        <v>19</v>
      </c>
      <c r="Y153" s="2">
        <f>COUNTIFS($D$5:$D$132,"R",Y$5:Y$132,"&gt;0")</f>
        <v>5</v>
      </c>
      <c r="Z153" s="2">
        <f>COUNTIFS($D$5:$D$132,"R",Z$5:Z$132,"&gt;0")</f>
        <v>11</v>
      </c>
    </row>
    <row r="154" spans="1:36" x14ac:dyDescent="0.2">
      <c r="O154" s="475"/>
      <c r="V154" s="296" t="s">
        <v>12</v>
      </c>
      <c r="W154" s="2">
        <f>COUNTIFS($D$5:$D$132,"N",W$5:W$132,"&gt;0")</f>
        <v>67</v>
      </c>
      <c r="X154" s="2">
        <f>COUNTIFS($D$5:$D$132,"N",X$5:X$132,"&gt;0")</f>
        <v>51</v>
      </c>
      <c r="Y154" s="2">
        <f>COUNTIFS($D$5:$D$132,"N",Y$5:Y$132,"&gt;0")</f>
        <v>11</v>
      </c>
      <c r="Z154" s="2">
        <f>COUNTIFS($D$5:$D$132,"N",Z$5:Z$132,"&gt;0")</f>
        <v>23</v>
      </c>
    </row>
    <row r="156" spans="1:36" x14ac:dyDescent="0.2">
      <c r="O156" s="475"/>
      <c r="Z156" s="476"/>
    </row>
    <row r="158" spans="1:36" x14ac:dyDescent="0.2">
      <c r="O158" s="475"/>
    </row>
    <row r="159" spans="1:36" x14ac:dyDescent="0.2">
      <c r="B159" s="111" t="s">
        <v>569</v>
      </c>
    </row>
    <row r="160" spans="1:36" x14ac:dyDescent="0.2">
      <c r="A160" s="696" t="s">
        <v>0</v>
      </c>
      <c r="B160" s="696"/>
      <c r="C160" s="696"/>
      <c r="D160" s="419"/>
      <c r="E160" s="353"/>
      <c r="F160" s="420">
        <v>1718473.5099999995</v>
      </c>
      <c r="G160" s="402"/>
      <c r="H160" s="402"/>
      <c r="I160" s="421"/>
      <c r="K160" s="423">
        <v>564248.62</v>
      </c>
      <c r="L160" s="402"/>
      <c r="M160" s="424"/>
      <c r="N160" s="353"/>
      <c r="O160" s="425">
        <v>405717.14000000007</v>
      </c>
      <c r="P160" s="409"/>
      <c r="Q160" s="409"/>
      <c r="R160" s="426">
        <v>215898.71999999997</v>
      </c>
      <c r="S160" s="402"/>
      <c r="T160" s="424"/>
      <c r="V160" s="427">
        <v>3342024</v>
      </c>
      <c r="W160" s="428">
        <v>2952576</v>
      </c>
      <c r="X160" s="429">
        <v>2864349</v>
      </c>
      <c r="Y160" s="430">
        <v>1514948</v>
      </c>
      <c r="Z160" s="430">
        <v>550435</v>
      </c>
      <c r="AB160" s="431">
        <v>8088791</v>
      </c>
      <c r="AC160" s="428">
        <v>7254096.9667887967</v>
      </c>
      <c r="AD160" s="429">
        <v>7058677.2540977364</v>
      </c>
      <c r="AE160" s="430">
        <v>3836217.0637409217</v>
      </c>
      <c r="AF160" s="430">
        <v>1256082.8983154271</v>
      </c>
      <c r="AG160" s="418">
        <v>4</v>
      </c>
      <c r="AH160" s="432">
        <v>2065383</v>
      </c>
      <c r="AI160" s="432">
        <v>5092299.96205635</v>
      </c>
      <c r="AJ160" s="432">
        <v>621615.86</v>
      </c>
    </row>
    <row r="161" spans="1:38" ht="5.25" customHeight="1" x14ac:dyDescent="0.2">
      <c r="A161" s="433"/>
      <c r="B161" s="433"/>
      <c r="C161" s="433"/>
      <c r="D161" s="433"/>
      <c r="E161" s="433"/>
      <c r="F161" s="433"/>
      <c r="G161" s="433"/>
      <c r="H161" s="433"/>
      <c r="I161" s="434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AG161" s="435"/>
    </row>
    <row r="162" spans="1:38" x14ac:dyDescent="0.2">
      <c r="A162" s="694" t="s">
        <v>726</v>
      </c>
      <c r="B162" s="694"/>
      <c r="C162" s="694"/>
      <c r="D162" s="436"/>
      <c r="E162" s="437"/>
      <c r="F162" s="438"/>
      <c r="G162" s="439">
        <v>11.192791481066022</v>
      </c>
      <c r="H162" s="440">
        <v>4.5557107454312549</v>
      </c>
      <c r="I162" s="441"/>
      <c r="J162" s="442"/>
      <c r="K162" s="438"/>
      <c r="L162" s="443">
        <v>3.7882726581153343</v>
      </c>
      <c r="M162" s="444">
        <v>1.5372476470291603</v>
      </c>
      <c r="N162" s="437"/>
      <c r="O162" s="445"/>
      <c r="P162" s="446">
        <v>5.1501785489057665</v>
      </c>
      <c r="Q162" s="446">
        <v>2.0338402553006882</v>
      </c>
      <c r="R162" s="447"/>
      <c r="S162" s="448">
        <v>7.5429405134819936</v>
      </c>
      <c r="T162" s="448">
        <v>3.3054334766492754</v>
      </c>
      <c r="W162" s="440">
        <v>11.192791481066022</v>
      </c>
      <c r="X162" s="444">
        <v>3.7882726581153343</v>
      </c>
      <c r="Y162" s="412">
        <v>5.1501785489057665</v>
      </c>
      <c r="Z162" s="412">
        <v>7.5429405134819936</v>
      </c>
      <c r="AC162" s="440">
        <v>4.5557107454312549</v>
      </c>
      <c r="AD162" s="444">
        <v>1.5372476470291603</v>
      </c>
      <c r="AE162" s="412">
        <v>2.0338402553006882</v>
      </c>
      <c r="AF162" s="412">
        <v>3.3054334766492754</v>
      </c>
      <c r="AH162" s="168"/>
      <c r="AI162" s="168"/>
      <c r="AK162" s="449">
        <v>5.7878616962791662</v>
      </c>
      <c r="AL162" s="449">
        <v>2.3474954819862734</v>
      </c>
    </row>
    <row r="163" spans="1:38" ht="6" customHeight="1" x14ac:dyDescent="0.2">
      <c r="A163" s="450"/>
      <c r="B163" s="450"/>
      <c r="C163" s="450"/>
      <c r="D163" s="450"/>
      <c r="E163" s="450"/>
      <c r="F163" s="450"/>
      <c r="G163" s="450"/>
      <c r="H163" s="450"/>
      <c r="I163" s="451"/>
      <c r="J163" s="450"/>
      <c r="K163" s="450"/>
      <c r="L163" s="450"/>
      <c r="M163" s="450"/>
      <c r="N163" s="450"/>
      <c r="O163" s="450"/>
      <c r="P163" s="450"/>
      <c r="Q163" s="450"/>
      <c r="R163" s="450"/>
      <c r="S163" s="450"/>
      <c r="T163" s="450"/>
    </row>
    <row r="164" spans="1:38" x14ac:dyDescent="0.2">
      <c r="A164" s="694" t="s">
        <v>5</v>
      </c>
      <c r="B164" s="694"/>
      <c r="C164" s="694"/>
      <c r="D164" s="436"/>
      <c r="E164" s="452"/>
      <c r="F164" s="695" t="s">
        <v>699</v>
      </c>
      <c r="G164" s="695"/>
      <c r="H164" s="695"/>
      <c r="I164" s="695"/>
      <c r="J164" s="695"/>
      <c r="K164" s="695"/>
      <c r="L164" s="695"/>
      <c r="M164" s="695"/>
      <c r="N164" s="695"/>
      <c r="O164" s="695"/>
      <c r="P164" s="695"/>
      <c r="Q164" s="695"/>
      <c r="R164" s="695"/>
      <c r="S164" s="695"/>
      <c r="T164" s="695"/>
      <c r="W164" s="453">
        <f>W160/V160</f>
        <v>0.88346941853200334</v>
      </c>
      <c r="X164" s="453">
        <f>X160/V160</f>
        <v>0.85707014671348858</v>
      </c>
      <c r="AH164" s="29" t="s">
        <v>725</v>
      </c>
      <c r="AI164" s="29" t="s">
        <v>725</v>
      </c>
      <c r="AJ164" s="29" t="s">
        <v>725</v>
      </c>
      <c r="AK164" s="29" t="s">
        <v>725</v>
      </c>
      <c r="AL164" s="29" t="s">
        <v>725</v>
      </c>
    </row>
    <row r="165" spans="1:38" x14ac:dyDescent="0.2">
      <c r="B165" s="296"/>
      <c r="C165" s="296" t="s">
        <v>9</v>
      </c>
      <c r="D165" s="296"/>
      <c r="E165" s="454"/>
      <c r="F165" s="455">
        <v>1055090.4200000002</v>
      </c>
      <c r="G165" s="440">
        <v>12.259747209177009</v>
      </c>
      <c r="H165" s="440">
        <v>4.6255157990935123</v>
      </c>
      <c r="I165" s="441"/>
      <c r="J165" s="456"/>
      <c r="K165" s="457">
        <v>312930.09000000003</v>
      </c>
      <c r="L165" s="444">
        <v>3.7204792486652858</v>
      </c>
      <c r="M165" s="444">
        <v>1.4046412011244489</v>
      </c>
      <c r="N165" s="454"/>
      <c r="O165" s="458">
        <v>267584.75</v>
      </c>
      <c r="P165" s="412">
        <v>5.2219072116462817</v>
      </c>
      <c r="Q165" s="446">
        <v>1.9662930444577162</v>
      </c>
      <c r="R165" s="459">
        <v>38495.700000000004</v>
      </c>
      <c r="S165" s="449">
        <v>8.1119199118673162</v>
      </c>
      <c r="T165" s="448">
        <v>3.1914136475302191</v>
      </c>
      <c r="V165" s="427">
        <v>1813089</v>
      </c>
      <c r="W165" s="455">
        <v>1655026</v>
      </c>
      <c r="X165" s="460">
        <v>1617503</v>
      </c>
      <c r="Y165" s="458">
        <v>985437</v>
      </c>
      <c r="Z165" s="458">
        <v>91261</v>
      </c>
      <c r="AB165" s="431">
        <v>4768575</v>
      </c>
      <c r="AC165" s="455">
        <v>4386581.1437919568</v>
      </c>
      <c r="AD165" s="460">
        <v>4284287.2196375728</v>
      </c>
      <c r="AE165" s="458">
        <v>2617036.4541681292</v>
      </c>
      <c r="AF165" s="458">
        <v>231966.77235802083</v>
      </c>
      <c r="AH165" s="458">
        <v>1076698</v>
      </c>
      <c r="AI165" s="458">
        <v>2849003.2265261505</v>
      </c>
      <c r="AJ165" s="459">
        <v>306080.45</v>
      </c>
      <c r="AK165" s="449">
        <v>5.4668648961918755</v>
      </c>
      <c r="AL165" s="449">
        <v>2.0660427637272707</v>
      </c>
    </row>
    <row r="166" spans="1:38" x14ac:dyDescent="0.2">
      <c r="B166" s="296"/>
      <c r="C166" s="296" t="s">
        <v>10</v>
      </c>
      <c r="D166" s="296"/>
      <c r="E166" s="461"/>
      <c r="F166" s="455">
        <v>319978.5</v>
      </c>
      <c r="G166" s="440">
        <v>10.664158421385206</v>
      </c>
      <c r="H166" s="440">
        <v>4.5151190543335522</v>
      </c>
      <c r="I166" s="441"/>
      <c r="J166" s="456"/>
      <c r="K166" s="457">
        <v>118290.47999999998</v>
      </c>
      <c r="L166" s="444">
        <v>3.9465189302024473</v>
      </c>
      <c r="M166" s="444">
        <v>1.670462326156414</v>
      </c>
      <c r="N166" s="461"/>
      <c r="O166" s="462">
        <v>95741.9</v>
      </c>
      <c r="P166" s="412">
        <v>5.2144186980747005</v>
      </c>
      <c r="Q166" s="446">
        <v>2.1393003895055198</v>
      </c>
      <c r="R166" s="463">
        <v>51550.8</v>
      </c>
      <c r="S166" s="449">
        <v>8.1685648711842855</v>
      </c>
      <c r="T166" s="448">
        <v>3.4146631973122883</v>
      </c>
      <c r="V166" s="427">
        <v>625338</v>
      </c>
      <c r="W166" s="455">
        <v>577020</v>
      </c>
      <c r="X166" s="460">
        <v>576411</v>
      </c>
      <c r="Y166" s="462">
        <v>353096</v>
      </c>
      <c r="Z166" s="462">
        <v>121363</v>
      </c>
      <c r="AB166" s="431">
        <v>1472883</v>
      </c>
      <c r="AC166" s="455">
        <v>1362850.5955788051</v>
      </c>
      <c r="AD166" s="460">
        <v>1361788.8218473478</v>
      </c>
      <c r="AE166" s="462">
        <v>860650.70321468951</v>
      </c>
      <c r="AF166" s="462">
        <v>290324.83767120808</v>
      </c>
      <c r="AH166" s="462">
        <v>474459</v>
      </c>
      <c r="AI166" s="462">
        <v>1150975.5408858976</v>
      </c>
      <c r="AJ166" s="463">
        <v>147292.70000000001</v>
      </c>
      <c r="AK166" s="449">
        <v>5.9700667983470073</v>
      </c>
      <c r="AL166" s="449">
        <v>2.4610009704434974</v>
      </c>
    </row>
    <row r="167" spans="1:38" x14ac:dyDescent="0.2">
      <c r="B167" s="296"/>
      <c r="C167" s="296" t="s">
        <v>11</v>
      </c>
      <c r="D167" s="296"/>
      <c r="E167" s="461"/>
      <c r="F167" s="464">
        <v>144350.98000000001</v>
      </c>
      <c r="G167" s="440">
        <v>8.4154279427388676</v>
      </c>
      <c r="H167" s="440">
        <v>3.9293168541921446</v>
      </c>
      <c r="I167" s="441"/>
      <c r="J167" s="456"/>
      <c r="K167" s="457">
        <v>71210.339999999982</v>
      </c>
      <c r="L167" s="444">
        <v>4.2442929700873231</v>
      </c>
      <c r="M167" s="444">
        <v>1.9823828090479076</v>
      </c>
      <c r="N167" s="461"/>
      <c r="O167" s="465">
        <v>25563.200000000001</v>
      </c>
      <c r="P167" s="412">
        <v>4.9835773083005552</v>
      </c>
      <c r="Q167" s="446">
        <v>2.3879188504249367</v>
      </c>
      <c r="R167" s="466">
        <v>72608.160000000003</v>
      </c>
      <c r="S167" s="449">
        <v>8.6279900468425819</v>
      </c>
      <c r="T167" s="448">
        <v>3.9576388563162164</v>
      </c>
      <c r="V167" s="427">
        <v>382834</v>
      </c>
      <c r="W167" s="464">
        <v>329868</v>
      </c>
      <c r="X167" s="460">
        <v>322652</v>
      </c>
      <c r="Y167" s="465">
        <v>98644</v>
      </c>
      <c r="Z167" s="465">
        <v>161835</v>
      </c>
      <c r="AB167" s="431">
        <v>818217</v>
      </c>
      <c r="AC167" s="464">
        <v>706479.13813662599</v>
      </c>
      <c r="AD167" s="460">
        <v>690799.78354045574</v>
      </c>
      <c r="AE167" s="465">
        <v>205869.6424765517</v>
      </c>
      <c r="AF167" s="465">
        <v>352814.09444480238</v>
      </c>
      <c r="AH167" s="465">
        <v>260479</v>
      </c>
      <c r="AI167" s="465">
        <v>558683.73692135396</v>
      </c>
      <c r="AJ167" s="466">
        <v>98171.359999999986</v>
      </c>
      <c r="AK167" s="449">
        <v>7.2478425102628972</v>
      </c>
      <c r="AL167" s="449">
        <v>3.3792119663875786</v>
      </c>
    </row>
    <row r="168" spans="1:38" x14ac:dyDescent="0.2">
      <c r="B168" s="296"/>
      <c r="C168" s="296" t="s">
        <v>12</v>
      </c>
      <c r="D168" s="296"/>
      <c r="E168" s="467"/>
      <c r="F168" s="455">
        <v>199053.61000000002</v>
      </c>
      <c r="G168" s="440">
        <v>9.7986342118289951</v>
      </c>
      <c r="H168" s="440">
        <v>4.7958165268299515</v>
      </c>
      <c r="I168" s="441"/>
      <c r="J168" s="456"/>
      <c r="K168" s="457">
        <v>61817.71</v>
      </c>
      <c r="L168" s="444">
        <v>3.4182295149119288</v>
      </c>
      <c r="M168" s="444">
        <v>1.6469932969133023</v>
      </c>
      <c r="N168" s="467"/>
      <c r="O168" s="465">
        <v>16827.29</v>
      </c>
      <c r="P168" s="412">
        <v>4.1609562789372747</v>
      </c>
      <c r="Q168" s="446">
        <v>2.1197508935286011</v>
      </c>
      <c r="R168" s="466">
        <v>53244.060000000005</v>
      </c>
      <c r="S168" s="449">
        <v>5.8185447491091455</v>
      </c>
      <c r="T168" s="448">
        <v>2.6876260503811125</v>
      </c>
      <c r="V168" s="427">
        <v>520763</v>
      </c>
      <c r="W168" s="455">
        <v>390662</v>
      </c>
      <c r="X168" s="460">
        <v>347783</v>
      </c>
      <c r="Y168" s="465">
        <v>77771</v>
      </c>
      <c r="Z168" s="465">
        <v>175976</v>
      </c>
      <c r="AB168" s="431">
        <v>1029116</v>
      </c>
      <c r="AC168" s="455">
        <v>798186.08928140707</v>
      </c>
      <c r="AD168" s="460">
        <v>721801.4290723576</v>
      </c>
      <c r="AE168" s="465">
        <v>152660.26388155148</v>
      </c>
      <c r="AF168" s="465">
        <v>380977.19384139613</v>
      </c>
      <c r="AH168" s="465">
        <v>253747</v>
      </c>
      <c r="AI168" s="465">
        <v>533637.45772294758</v>
      </c>
      <c r="AJ168" s="466">
        <v>70071.349999999991</v>
      </c>
      <c r="AK168" s="449">
        <v>5.310509923421602</v>
      </c>
      <c r="AL168" s="449">
        <v>2.525171241330038</v>
      </c>
    </row>
    <row r="170" spans="1:38" x14ac:dyDescent="0.2">
      <c r="O170" s="475"/>
    </row>
    <row r="172" spans="1:38" x14ac:dyDescent="0.2">
      <c r="O172" s="475"/>
    </row>
    <row r="174" spans="1:38" x14ac:dyDescent="0.2">
      <c r="O174" s="475"/>
    </row>
  </sheetData>
  <mergeCells count="16">
    <mergeCell ref="W4:Z4"/>
    <mergeCell ref="AC4:AF4"/>
    <mergeCell ref="O2:T2"/>
    <mergeCell ref="W2:Z2"/>
    <mergeCell ref="AB2:AF2"/>
    <mergeCell ref="K3:M3"/>
    <mergeCell ref="O3:T3"/>
    <mergeCell ref="A162:C162"/>
    <mergeCell ref="A164:C164"/>
    <mergeCell ref="F164:T164"/>
    <mergeCell ref="A134:C134"/>
    <mergeCell ref="A136:C136"/>
    <mergeCell ref="A138:C138"/>
    <mergeCell ref="F138:T138"/>
    <mergeCell ref="B143:D143"/>
    <mergeCell ref="A160:C160"/>
  </mergeCells>
  <hyperlinks>
    <hyperlink ref="G4" location="'2009-10'!A160" display="Bottom" xr:uid="{AB3C65DB-A053-41BB-82FD-6BB803B5D753}"/>
    <hyperlink ref="F4" location="'2009-10'!A160" display="Bottom" xr:uid="{8BD62E48-E1F8-4E9A-B8E7-34BF5E0DEF9F}"/>
    <hyperlink ref="D63" location="'2009-10'!A160" display="Bottom" xr:uid="{27639A55-1BE5-4731-A1A9-48C28DA2490D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1DC73-2CD5-4EAA-B5F4-E94AE25997A0}">
  <dimension ref="A1:Z155"/>
  <sheetViews>
    <sheetView topLeftCell="A111" workbookViewId="0">
      <selection activeCell="U134" sqref="U134"/>
    </sheetView>
  </sheetViews>
  <sheetFormatPr defaultColWidth="9.140625" defaultRowHeight="12.75" x14ac:dyDescent="0.2"/>
  <cols>
    <col min="1" max="1" width="7.42578125" style="138" customWidth="1"/>
    <col min="2" max="2" width="26" style="138" bestFit="1" customWidth="1"/>
    <col min="3" max="3" width="13.5703125" style="138" bestFit="1" customWidth="1"/>
    <col min="4" max="4" width="3" style="138" customWidth="1"/>
    <col min="5" max="5" width="0.85546875" style="236" customWidth="1"/>
    <col min="6" max="6" width="11.140625" style="228" bestFit="1" customWidth="1"/>
    <col min="7" max="7" width="11.42578125" style="228" bestFit="1" customWidth="1"/>
    <col min="8" max="8" width="9.28515625" style="228" bestFit="1" customWidth="1"/>
    <col min="9" max="9" width="0.85546875" style="236" customWidth="1"/>
    <col min="10" max="10" width="14" style="228" bestFit="1" customWidth="1"/>
    <col min="11" max="11" width="11.42578125" style="228" bestFit="1" customWidth="1"/>
    <col min="12" max="12" width="9.28515625" style="228" bestFit="1" customWidth="1"/>
    <col min="13" max="13" width="0.85546875" style="236" customWidth="1"/>
    <col min="14" max="14" width="11.140625" style="228" bestFit="1" customWidth="1"/>
    <col min="15" max="15" width="11.42578125" style="228" bestFit="1" customWidth="1"/>
    <col min="16" max="16" width="9.28515625" style="228" bestFit="1" customWidth="1"/>
    <col min="17" max="17" width="11.140625" style="228" bestFit="1" customWidth="1"/>
    <col min="18" max="18" width="11.42578125" style="228" bestFit="1" customWidth="1"/>
    <col min="19" max="19" width="9.28515625" style="228" bestFit="1" customWidth="1"/>
    <col min="20" max="20" width="0.85546875" style="236" customWidth="1"/>
    <col min="21" max="22" width="9.85546875" style="153" bestFit="1" customWidth="1"/>
    <col min="23" max="23" width="9.28515625" style="138" bestFit="1" customWidth="1"/>
    <col min="24" max="24" width="18.7109375" style="138" bestFit="1" customWidth="1"/>
    <col min="25" max="16384" width="9.140625" style="138"/>
  </cols>
  <sheetData>
    <row r="1" spans="1:26" s="132" customFormat="1" ht="15.75" x14ac:dyDescent="0.25">
      <c r="A1" s="140" t="s">
        <v>663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299"/>
      <c r="U1" s="133"/>
      <c r="V1" s="133"/>
    </row>
    <row r="2" spans="1:26" s="240" customFormat="1" ht="15.75" x14ac:dyDescent="0.25">
      <c r="B2" s="239" t="s">
        <v>181</v>
      </c>
      <c r="C2" s="136"/>
      <c r="D2" s="136"/>
      <c r="E2" s="136"/>
      <c r="F2" s="239"/>
      <c r="G2" s="239"/>
      <c r="H2" s="239"/>
      <c r="I2" s="136"/>
      <c r="K2" s="239"/>
      <c r="L2" s="239"/>
      <c r="M2" s="136"/>
      <c r="N2" s="239"/>
      <c r="O2" s="239"/>
      <c r="P2" s="239"/>
      <c r="Q2" s="239"/>
      <c r="R2" s="239"/>
      <c r="S2" s="239"/>
      <c r="T2" s="136"/>
      <c r="U2" s="300"/>
      <c r="V2" s="300"/>
    </row>
    <row r="3" spans="1:26" ht="15.75" customHeight="1" x14ac:dyDescent="0.25">
      <c r="A3" s="134"/>
      <c r="B3" s="134"/>
      <c r="C3" s="134"/>
      <c r="D3" s="134"/>
      <c r="E3" s="134"/>
      <c r="F3" s="711" t="s">
        <v>545</v>
      </c>
      <c r="G3" s="712"/>
      <c r="H3" s="712"/>
      <c r="I3" s="242"/>
      <c r="J3" s="692" t="s">
        <v>664</v>
      </c>
      <c r="K3" s="713"/>
      <c r="L3" s="713"/>
      <c r="M3" s="301"/>
      <c r="N3" s="714" t="s">
        <v>665</v>
      </c>
      <c r="O3" s="714"/>
      <c r="P3" s="714"/>
      <c r="Q3" s="715" t="s">
        <v>666</v>
      </c>
      <c r="R3" s="715"/>
      <c r="S3" s="715"/>
      <c r="T3" s="301"/>
    </row>
    <row r="4" spans="1:26" ht="36" x14ac:dyDescent="0.2">
      <c r="A4" s="7" t="s">
        <v>39</v>
      </c>
      <c r="B4" s="33" t="s">
        <v>40</v>
      </c>
      <c r="C4" s="32" t="s">
        <v>15</v>
      </c>
      <c r="D4" s="34" t="s">
        <v>5</v>
      </c>
      <c r="E4" s="301"/>
      <c r="F4" s="302" t="s">
        <v>667</v>
      </c>
      <c r="G4" s="303" t="s">
        <v>668</v>
      </c>
      <c r="H4" s="304" t="s">
        <v>669</v>
      </c>
      <c r="I4" s="301"/>
      <c r="J4" s="305" t="s">
        <v>667</v>
      </c>
      <c r="K4" s="305" t="s">
        <v>668</v>
      </c>
      <c r="L4" s="306" t="s">
        <v>670</v>
      </c>
      <c r="M4" s="301"/>
      <c r="N4" s="307" t="s">
        <v>667</v>
      </c>
      <c r="O4" s="307" t="s">
        <v>668</v>
      </c>
      <c r="P4" s="308" t="s">
        <v>671</v>
      </c>
      <c r="Q4" s="309" t="s">
        <v>667</v>
      </c>
      <c r="R4" s="309" t="s">
        <v>668</v>
      </c>
      <c r="S4" s="310" t="s">
        <v>672</v>
      </c>
      <c r="T4" s="301"/>
      <c r="U4" s="311" t="s">
        <v>673</v>
      </c>
      <c r="V4" s="311" t="s">
        <v>674</v>
      </c>
      <c r="W4" s="312" t="s">
        <v>549</v>
      </c>
    </row>
    <row r="5" spans="1:26" x14ac:dyDescent="0.2">
      <c r="A5" s="9">
        <v>10050</v>
      </c>
      <c r="B5" s="9" t="s">
        <v>78</v>
      </c>
      <c r="C5" s="9" t="s">
        <v>73</v>
      </c>
      <c r="D5" s="29" t="s">
        <v>1</v>
      </c>
      <c r="E5" s="313"/>
      <c r="F5" s="314" t="s">
        <v>675</v>
      </c>
      <c r="G5" s="315" t="s">
        <v>676</v>
      </c>
      <c r="H5" s="316">
        <f>'App 7 - HH &amp; Capita'!G5</f>
        <v>5.6927683861638281</v>
      </c>
      <c r="I5" s="313"/>
      <c r="J5" s="317" t="s">
        <v>677</v>
      </c>
      <c r="K5" s="318" t="s">
        <v>676</v>
      </c>
      <c r="L5" s="319">
        <f>'App 7 - HH &amp; Capita'!L5</f>
        <v>3.5794081437234961</v>
      </c>
      <c r="M5" s="313"/>
      <c r="N5" s="320"/>
      <c r="O5" s="320"/>
      <c r="P5" s="321"/>
      <c r="Q5" s="322" t="s">
        <v>677</v>
      </c>
      <c r="R5" s="322" t="s">
        <v>678</v>
      </c>
      <c r="S5" s="323">
        <f>'App 7 - HH &amp; Capita'!S5</f>
        <v>9.0836862797523192</v>
      </c>
      <c r="T5" s="313"/>
      <c r="U5" s="324">
        <f t="shared" ref="U5:U68" si="0">H5+L5+P5+S5</f>
        <v>18.355862809639646</v>
      </c>
      <c r="V5" s="157">
        <v>4</v>
      </c>
      <c r="W5" s="325">
        <f>'App 3 - Recycling Rate'!S5</f>
        <v>0.70975956778988403</v>
      </c>
      <c r="Y5"/>
      <c r="Z5"/>
    </row>
    <row r="6" spans="1:26" x14ac:dyDescent="0.2">
      <c r="A6" s="8">
        <v>10130</v>
      </c>
      <c r="B6" s="8" t="s">
        <v>79</v>
      </c>
      <c r="C6" s="8" t="s">
        <v>17</v>
      </c>
      <c r="D6" s="29" t="s">
        <v>1</v>
      </c>
      <c r="E6" s="313"/>
      <c r="F6" s="314" t="s">
        <v>675</v>
      </c>
      <c r="G6" s="315" t="s">
        <v>678</v>
      </c>
      <c r="H6" s="316">
        <f>'App 7 - HH &amp; Capita'!G6</f>
        <v>9.2300885589820023</v>
      </c>
      <c r="I6" s="313"/>
      <c r="J6" s="317" t="s">
        <v>679</v>
      </c>
      <c r="K6" s="318" t="s">
        <v>678</v>
      </c>
      <c r="L6" s="319">
        <f>'App 7 - HH &amp; Capita'!L6</f>
        <v>6.1556741737350098</v>
      </c>
      <c r="M6" s="313"/>
      <c r="N6" s="320"/>
      <c r="O6" s="320"/>
      <c r="P6" s="321"/>
      <c r="Q6" s="322" t="s">
        <v>677</v>
      </c>
      <c r="R6" s="322" t="s">
        <v>676</v>
      </c>
      <c r="S6" s="323">
        <f>'App 7 - HH &amp; Capita'!S6</f>
        <v>4.512028233938346</v>
      </c>
      <c r="T6" s="313"/>
      <c r="U6" s="324">
        <f t="shared" si="0"/>
        <v>19.897790966655357</v>
      </c>
      <c r="V6" s="157">
        <v>4</v>
      </c>
      <c r="W6" s="325">
        <f>'App 3 - Recycling Rate'!S6</f>
        <v>0.48283047633211906</v>
      </c>
      <c r="Y6"/>
      <c r="Z6"/>
    </row>
    <row r="7" spans="1:26" x14ac:dyDescent="0.2">
      <c r="A7" s="8">
        <v>10250</v>
      </c>
      <c r="B7" s="8" t="s">
        <v>80</v>
      </c>
      <c r="C7" s="8" t="s">
        <v>20</v>
      </c>
      <c r="D7" s="29" t="s">
        <v>4</v>
      </c>
      <c r="E7" s="313"/>
      <c r="F7" s="314" t="s">
        <v>677</v>
      </c>
      <c r="G7" s="315" t="s">
        <v>676</v>
      </c>
      <c r="H7" s="316">
        <f>'App 7 - HH &amp; Capita'!G7</f>
        <v>8.4424718824398646</v>
      </c>
      <c r="I7" s="313"/>
      <c r="J7" s="317" t="s">
        <v>677</v>
      </c>
      <c r="K7" s="318" t="s">
        <v>676</v>
      </c>
      <c r="L7" s="319">
        <f>'App 7 - HH &amp; Capita'!L7</f>
        <v>4.7974118836779533</v>
      </c>
      <c r="M7" s="313"/>
      <c r="N7" s="320"/>
      <c r="O7" s="320"/>
      <c r="P7" s="321"/>
      <c r="Q7" s="322" t="s">
        <v>677</v>
      </c>
      <c r="R7" s="322" t="s">
        <v>678</v>
      </c>
      <c r="S7" s="323">
        <f>'App 7 - HH &amp; Capita'!S7</f>
        <v>9.4452250130821547</v>
      </c>
      <c r="T7" s="313"/>
      <c r="U7" s="324">
        <f t="shared" si="0"/>
        <v>22.685108779199972</v>
      </c>
      <c r="V7" s="157">
        <v>4</v>
      </c>
      <c r="W7" s="325">
        <f>'App 3 - Recycling Rate'!S7</f>
        <v>0.53546112876213769</v>
      </c>
      <c r="Y7"/>
      <c r="Z7"/>
    </row>
    <row r="8" spans="1:26" x14ac:dyDescent="0.2">
      <c r="A8" s="8">
        <v>10300</v>
      </c>
      <c r="B8" s="8" t="s">
        <v>81</v>
      </c>
      <c r="C8" s="8" t="s">
        <v>73</v>
      </c>
      <c r="D8" s="29" t="s">
        <v>1</v>
      </c>
      <c r="E8" s="313"/>
      <c r="F8" s="314" t="s">
        <v>677</v>
      </c>
      <c r="G8" s="315" t="s">
        <v>678</v>
      </c>
      <c r="H8" s="316">
        <f>'App 7 - HH &amp; Capita'!G8</f>
        <v>15.336605142430386</v>
      </c>
      <c r="I8" s="313"/>
      <c r="J8" s="317"/>
      <c r="K8" s="318"/>
      <c r="L8" s="319"/>
      <c r="M8" s="313"/>
      <c r="N8" s="320"/>
      <c r="O8" s="320"/>
      <c r="P8" s="321"/>
      <c r="Q8" s="322"/>
      <c r="R8" s="322"/>
      <c r="S8" s="323"/>
      <c r="T8" s="313"/>
      <c r="U8" s="324">
        <f t="shared" si="0"/>
        <v>15.336605142430386</v>
      </c>
      <c r="V8" s="157">
        <v>1</v>
      </c>
      <c r="W8" s="325">
        <f>'App 3 - Recycling Rate'!S8</f>
        <v>3.1071011150608709E-2</v>
      </c>
      <c r="Y8"/>
      <c r="Z8"/>
    </row>
    <row r="9" spans="1:26" x14ac:dyDescent="0.2">
      <c r="A9" s="8">
        <v>10470</v>
      </c>
      <c r="B9" s="8" t="s">
        <v>82</v>
      </c>
      <c r="C9" s="8" t="s">
        <v>42</v>
      </c>
      <c r="D9" s="29" t="s">
        <v>1</v>
      </c>
      <c r="E9" s="313"/>
      <c r="F9" s="314" t="s">
        <v>677</v>
      </c>
      <c r="G9" s="315" t="s">
        <v>678</v>
      </c>
      <c r="H9" s="316">
        <f>'App 7 - HH &amp; Capita'!G9</f>
        <v>12.424504518671771</v>
      </c>
      <c r="I9" s="313"/>
      <c r="J9" s="317" t="s">
        <v>677</v>
      </c>
      <c r="K9" s="318" t="s">
        <v>676</v>
      </c>
      <c r="L9" s="319">
        <f>'App 7 - HH &amp; Capita'!L9</f>
        <v>2.7215086937665101</v>
      </c>
      <c r="M9" s="313"/>
      <c r="N9" s="320"/>
      <c r="O9" s="320"/>
      <c r="P9" s="321"/>
      <c r="Q9" s="322" t="s">
        <v>677</v>
      </c>
      <c r="R9" s="322" t="s">
        <v>678</v>
      </c>
      <c r="S9" s="323">
        <f>'App 7 - HH &amp; Capita'!S9</f>
        <v>6.5230368730685342</v>
      </c>
      <c r="T9" s="313"/>
      <c r="U9" s="324">
        <f t="shared" si="0"/>
        <v>21.669050085506814</v>
      </c>
      <c r="V9" s="157">
        <v>4</v>
      </c>
      <c r="W9" s="325">
        <f>'App 3 - Recycling Rate'!S9</f>
        <v>0.35994006211986235</v>
      </c>
      <c r="Y9"/>
      <c r="Z9"/>
    </row>
    <row r="10" spans="1:26" x14ac:dyDescent="0.2">
      <c r="A10" s="8">
        <v>10500</v>
      </c>
      <c r="B10" s="8" t="s">
        <v>23</v>
      </c>
      <c r="C10" s="8" t="s">
        <v>18</v>
      </c>
      <c r="D10" s="29" t="s">
        <v>3</v>
      </c>
      <c r="E10" s="313"/>
      <c r="F10" s="314" t="s">
        <v>677</v>
      </c>
      <c r="G10" s="315" t="s">
        <v>678</v>
      </c>
      <c r="H10" s="316">
        <f>'App 7 - HH &amp; Capita'!G10</f>
        <v>12.719838736848907</v>
      </c>
      <c r="I10" s="313"/>
      <c r="J10" s="317" t="s">
        <v>677</v>
      </c>
      <c r="K10" s="318" t="s">
        <v>676</v>
      </c>
      <c r="L10" s="319">
        <f>'App 7 - HH &amp; Capita'!L10</f>
        <v>2.6931123026081036</v>
      </c>
      <c r="M10" s="313"/>
      <c r="N10" s="320" t="s">
        <v>677</v>
      </c>
      <c r="O10" s="320" t="s">
        <v>676</v>
      </c>
      <c r="P10" s="321">
        <f>'App 7 - HH &amp; Capita'!P10</f>
        <v>2.4053390405396367</v>
      </c>
      <c r="Q10" s="322"/>
      <c r="R10" s="322"/>
      <c r="S10" s="323"/>
      <c r="T10" s="313"/>
      <c r="U10" s="324">
        <f t="shared" si="0"/>
        <v>17.818290079996647</v>
      </c>
      <c r="V10" s="157">
        <v>3</v>
      </c>
      <c r="W10" s="325">
        <f>'App 3 - Recycling Rate'!S10</f>
        <v>0.52111579404458064</v>
      </c>
      <c r="Y10"/>
      <c r="Z10"/>
    </row>
    <row r="11" spans="1:26" x14ac:dyDescent="0.2">
      <c r="A11" s="8">
        <v>10550</v>
      </c>
      <c r="B11" s="8" t="s">
        <v>83</v>
      </c>
      <c r="C11" s="8" t="s">
        <v>74</v>
      </c>
      <c r="D11" s="29" t="s">
        <v>1</v>
      </c>
      <c r="E11" s="313"/>
      <c r="F11" s="314" t="s">
        <v>675</v>
      </c>
      <c r="G11" s="315" t="s">
        <v>678</v>
      </c>
      <c r="H11" s="316">
        <f>'App 7 - HH &amp; Capita'!G11</f>
        <v>11.097353988017581</v>
      </c>
      <c r="I11" s="313"/>
      <c r="J11" s="317" t="s">
        <v>677</v>
      </c>
      <c r="K11" s="318" t="s">
        <v>676</v>
      </c>
      <c r="L11" s="319">
        <f>'App 7 - HH &amp; Capita'!L11</f>
        <v>5.6825949724489249</v>
      </c>
      <c r="M11" s="313"/>
      <c r="N11" s="320"/>
      <c r="O11" s="320"/>
      <c r="P11" s="321"/>
      <c r="Q11" s="322" t="s">
        <v>677</v>
      </c>
      <c r="R11" s="322" t="s">
        <v>678</v>
      </c>
      <c r="S11" s="323">
        <f>'App 7 - HH &amp; Capita'!S11</f>
        <v>11.409299655568313</v>
      </c>
      <c r="T11" s="313"/>
      <c r="U11" s="324">
        <f t="shared" si="0"/>
        <v>28.189248616034817</v>
      </c>
      <c r="V11" s="157">
        <v>4</v>
      </c>
      <c r="W11" s="325">
        <f>'App 3 - Recycling Rate'!S11</f>
        <v>0.67275432807243829</v>
      </c>
      <c r="Y11"/>
      <c r="Z11"/>
    </row>
    <row r="12" spans="1:26" x14ac:dyDescent="0.2">
      <c r="A12" s="8">
        <v>10600</v>
      </c>
      <c r="B12" s="8" t="s">
        <v>51</v>
      </c>
      <c r="C12" s="8" t="s">
        <v>43</v>
      </c>
      <c r="D12" s="29" t="s">
        <v>4</v>
      </c>
      <c r="E12" s="313"/>
      <c r="F12" s="314" t="s">
        <v>677</v>
      </c>
      <c r="G12" s="315" t="s">
        <v>676</v>
      </c>
      <c r="H12" s="316">
        <f>'App 7 - HH &amp; Capita'!G12</f>
        <v>6.8239784622469406</v>
      </c>
      <c r="I12" s="313"/>
      <c r="J12" s="317" t="s">
        <v>677</v>
      </c>
      <c r="K12" s="318" t="s">
        <v>676</v>
      </c>
      <c r="L12" s="319">
        <f>'App 7 - HH &amp; Capita'!L12</f>
        <v>4.3288935333604917</v>
      </c>
      <c r="M12" s="313"/>
      <c r="N12" s="320"/>
      <c r="O12" s="320"/>
      <c r="P12" s="321"/>
      <c r="Q12" s="322" t="s">
        <v>677</v>
      </c>
      <c r="R12" s="322" t="s">
        <v>678</v>
      </c>
      <c r="S12" s="323">
        <f>'App 7 - HH &amp; Capita'!S12</f>
        <v>7.8162914681450255</v>
      </c>
      <c r="T12" s="313"/>
      <c r="U12" s="324">
        <f t="shared" si="0"/>
        <v>18.969163463752459</v>
      </c>
      <c r="V12" s="157">
        <v>4</v>
      </c>
      <c r="W12" s="325">
        <f>'App 3 - Recycling Rate'!S12</f>
        <v>0.52297192498326739</v>
      </c>
      <c r="Y12"/>
      <c r="Z12"/>
    </row>
    <row r="13" spans="1:26" x14ac:dyDescent="0.2">
      <c r="A13" s="8">
        <v>10650</v>
      </c>
      <c r="B13" s="8" t="s">
        <v>84</v>
      </c>
      <c r="C13" s="8" t="s">
        <v>73</v>
      </c>
      <c r="D13" s="29" t="s">
        <v>1</v>
      </c>
      <c r="E13" s="313"/>
      <c r="F13" s="314" t="s">
        <v>680</v>
      </c>
      <c r="G13" s="315" t="s">
        <v>678</v>
      </c>
      <c r="H13" s="316">
        <f>'App 7 - HH &amp; Capita'!G13</f>
        <v>7.8290721004288839</v>
      </c>
      <c r="I13" s="313"/>
      <c r="J13" s="317" t="s">
        <v>677</v>
      </c>
      <c r="K13" s="318" t="s">
        <v>676</v>
      </c>
      <c r="L13" s="319">
        <f>'App 7 - HH &amp; Capita'!L13</f>
        <v>3.3191354100445007</v>
      </c>
      <c r="M13" s="313"/>
      <c r="N13" s="320"/>
      <c r="O13" s="320"/>
      <c r="P13" s="321"/>
      <c r="Q13" s="322"/>
      <c r="R13" s="322"/>
      <c r="S13" s="323"/>
      <c r="T13" s="313"/>
      <c r="U13" s="324">
        <f t="shared" si="0"/>
        <v>11.148207510473384</v>
      </c>
      <c r="V13" s="157">
        <v>2</v>
      </c>
      <c r="W13" s="325">
        <f>'App 3 - Recycling Rate'!S13</f>
        <v>0.39990994559223536</v>
      </c>
      <c r="Y13"/>
      <c r="Z13"/>
    </row>
    <row r="14" spans="1:26" x14ac:dyDescent="0.2">
      <c r="A14" s="8">
        <v>10750</v>
      </c>
      <c r="B14" s="8" t="s">
        <v>52</v>
      </c>
      <c r="C14" s="8" t="s">
        <v>19</v>
      </c>
      <c r="D14" s="29" t="s">
        <v>3</v>
      </c>
      <c r="E14" s="313"/>
      <c r="F14" s="314" t="s">
        <v>677</v>
      </c>
      <c r="G14" s="315" t="s">
        <v>678</v>
      </c>
      <c r="H14" s="316">
        <f>'App 7 - HH &amp; Capita'!G14</f>
        <v>15.904765193900184</v>
      </c>
      <c r="I14" s="313"/>
      <c r="J14" s="317" t="s">
        <v>677</v>
      </c>
      <c r="K14" s="318" t="s">
        <v>676</v>
      </c>
      <c r="L14" s="319">
        <f>'App 7 - HH &amp; Capita'!L14</f>
        <v>3.0314867099223428</v>
      </c>
      <c r="M14" s="313"/>
      <c r="N14" s="320"/>
      <c r="O14" s="320"/>
      <c r="P14" s="321"/>
      <c r="Q14" s="322"/>
      <c r="R14" s="322"/>
      <c r="S14" s="323"/>
      <c r="T14" s="313"/>
      <c r="U14" s="324">
        <f t="shared" si="0"/>
        <v>18.936251903822527</v>
      </c>
      <c r="V14" s="157">
        <v>2</v>
      </c>
      <c r="W14" s="325">
        <f>'App 3 - Recycling Rate'!S14</f>
        <v>0.44591338717409279</v>
      </c>
      <c r="Y14"/>
      <c r="Z14"/>
    </row>
    <row r="15" spans="1:26" x14ac:dyDescent="0.2">
      <c r="A15" s="8">
        <v>10800</v>
      </c>
      <c r="B15" s="8" t="s">
        <v>85</v>
      </c>
      <c r="C15" s="8" t="s">
        <v>22</v>
      </c>
      <c r="D15" s="29" t="s">
        <v>1</v>
      </c>
      <c r="E15" s="313"/>
      <c r="F15" s="314" t="s">
        <v>677</v>
      </c>
      <c r="G15" s="315" t="s">
        <v>678</v>
      </c>
      <c r="H15" s="316">
        <f>'App 7 - HH &amp; Capita'!G15</f>
        <v>9.5257971250559912</v>
      </c>
      <c r="I15" s="313"/>
      <c r="J15" s="317"/>
      <c r="K15" s="318"/>
      <c r="L15" s="319"/>
      <c r="M15" s="313"/>
      <c r="N15" s="320"/>
      <c r="O15" s="320"/>
      <c r="P15" s="321"/>
      <c r="Q15" s="322"/>
      <c r="R15" s="322"/>
      <c r="S15" s="323"/>
      <c r="T15" s="313"/>
      <c r="U15" s="324">
        <f t="shared" si="0"/>
        <v>9.5257971250559912</v>
      </c>
      <c r="V15" s="157">
        <v>1</v>
      </c>
      <c r="W15" s="325">
        <f>'App 3 - Recycling Rate'!S15</f>
        <v>0.13991272562483492</v>
      </c>
      <c r="Y15"/>
      <c r="Z15"/>
    </row>
    <row r="16" spans="1:26" x14ac:dyDescent="0.2">
      <c r="A16" s="8">
        <v>10850</v>
      </c>
      <c r="B16" s="8" t="s">
        <v>86</v>
      </c>
      <c r="C16" s="8" t="s">
        <v>42</v>
      </c>
      <c r="D16" s="29" t="s">
        <v>1</v>
      </c>
      <c r="E16" s="313"/>
      <c r="F16" s="314" t="s">
        <v>677</v>
      </c>
      <c r="G16" s="315" t="s">
        <v>678</v>
      </c>
      <c r="H16" s="316">
        <f>'App 7 - HH &amp; Capita'!G16</f>
        <v>14.485421951149998</v>
      </c>
      <c r="I16" s="313"/>
      <c r="J16" s="317" t="s">
        <v>677</v>
      </c>
      <c r="K16" s="318" t="s">
        <v>676</v>
      </c>
      <c r="L16" s="319">
        <f>'App 7 - HH &amp; Capita'!L16</f>
        <v>3.5675606349930171</v>
      </c>
      <c r="M16" s="313"/>
      <c r="N16" s="320"/>
      <c r="O16" s="320"/>
      <c r="P16" s="321"/>
      <c r="Q16" s="322"/>
      <c r="R16" s="322"/>
      <c r="S16" s="323"/>
      <c r="T16" s="313"/>
      <c r="U16" s="324">
        <f t="shared" si="0"/>
        <v>18.052982586143017</v>
      </c>
      <c r="V16" s="157">
        <v>2</v>
      </c>
      <c r="W16" s="325">
        <f>'App 3 - Recycling Rate'!S16</f>
        <v>0.31367078335037207</v>
      </c>
      <c r="Y16"/>
      <c r="Z16"/>
    </row>
    <row r="17" spans="1:26" x14ac:dyDescent="0.2">
      <c r="A17" s="8">
        <v>10900</v>
      </c>
      <c r="B17" s="8" t="s">
        <v>87</v>
      </c>
      <c r="C17" s="8" t="s">
        <v>19</v>
      </c>
      <c r="D17" s="29" t="s">
        <v>4</v>
      </c>
      <c r="E17" s="313"/>
      <c r="F17" s="314" t="s">
        <v>675</v>
      </c>
      <c r="G17" s="315" t="s">
        <v>678</v>
      </c>
      <c r="H17" s="316">
        <f>'App 7 - HH &amp; Capita'!G17</f>
        <v>10.25709535684598</v>
      </c>
      <c r="I17" s="313"/>
      <c r="J17" s="317" t="s">
        <v>677</v>
      </c>
      <c r="K17" s="318" t="s">
        <v>676</v>
      </c>
      <c r="L17" s="319">
        <f>'App 7 - HH &amp; Capita'!L17</f>
        <v>4.2586587511946634</v>
      </c>
      <c r="M17" s="313"/>
      <c r="N17" s="320" t="s">
        <v>677</v>
      </c>
      <c r="O17" s="320" t="s">
        <v>676</v>
      </c>
      <c r="P17" s="321">
        <f>'App 7 - HH &amp; Capita'!P17</f>
        <v>6.5779060351571008</v>
      </c>
      <c r="Q17" s="322"/>
      <c r="R17" s="322"/>
      <c r="S17" s="323"/>
      <c r="T17" s="313"/>
      <c r="U17" s="324">
        <f t="shared" si="0"/>
        <v>21.093660143197745</v>
      </c>
      <c r="V17" s="157">
        <v>3</v>
      </c>
      <c r="W17" s="325">
        <f>'App 3 - Recycling Rate'!S17</f>
        <v>0.53133838326344762</v>
      </c>
      <c r="Y17"/>
      <c r="Z17"/>
    </row>
    <row r="18" spans="1:26" x14ac:dyDescent="0.2">
      <c r="A18" s="8">
        <v>10950</v>
      </c>
      <c r="B18" s="8" t="s">
        <v>88</v>
      </c>
      <c r="C18" s="8" t="s">
        <v>42</v>
      </c>
      <c r="D18" s="29" t="s">
        <v>1</v>
      </c>
      <c r="E18" s="313"/>
      <c r="F18" s="314" t="s">
        <v>677</v>
      </c>
      <c r="G18" s="315" t="s">
        <v>678</v>
      </c>
      <c r="H18" s="316">
        <f>'App 7 - HH &amp; Capita'!G18</f>
        <v>5.5861686390532546</v>
      </c>
      <c r="I18" s="313"/>
      <c r="J18" s="317" t="s">
        <v>677</v>
      </c>
      <c r="K18" s="318" t="s">
        <v>676</v>
      </c>
      <c r="L18" s="319">
        <f>'App 7 - HH &amp; Capita'!L18</f>
        <v>2.0579375087571807</v>
      </c>
      <c r="M18" s="313"/>
      <c r="N18" s="320"/>
      <c r="O18" s="320"/>
      <c r="P18" s="321"/>
      <c r="Q18" s="322"/>
      <c r="R18" s="322"/>
      <c r="S18" s="323"/>
      <c r="T18" s="313"/>
      <c r="U18" s="324">
        <f t="shared" si="0"/>
        <v>7.6441061478104348</v>
      </c>
      <c r="V18" s="157">
        <v>2</v>
      </c>
      <c r="W18" s="325">
        <f>'App 3 - Recycling Rate'!S18</f>
        <v>0.36029395571001738</v>
      </c>
      <c r="Y18"/>
      <c r="Z18"/>
    </row>
    <row r="19" spans="1:26" x14ac:dyDescent="0.2">
      <c r="A19" s="8">
        <v>11150</v>
      </c>
      <c r="B19" s="8" t="s">
        <v>89</v>
      </c>
      <c r="C19" s="8" t="s">
        <v>42</v>
      </c>
      <c r="D19" s="29" t="s">
        <v>1</v>
      </c>
      <c r="E19" s="313"/>
      <c r="F19" s="314" t="s">
        <v>677</v>
      </c>
      <c r="G19" s="315" t="s">
        <v>678</v>
      </c>
      <c r="H19" s="316">
        <f>'App 7 - HH &amp; Capita'!G19</f>
        <v>20.079766229663562</v>
      </c>
      <c r="I19" s="313"/>
      <c r="J19" s="317"/>
      <c r="K19" s="318"/>
      <c r="L19" s="319"/>
      <c r="M19" s="313"/>
      <c r="N19" s="320"/>
      <c r="O19" s="320"/>
      <c r="P19" s="321"/>
      <c r="Q19" s="322"/>
      <c r="R19" s="322"/>
      <c r="S19" s="323"/>
      <c r="T19" s="313"/>
      <c r="U19" s="324">
        <f t="shared" si="0"/>
        <v>20.079766229663562</v>
      </c>
      <c r="V19" s="157">
        <v>1</v>
      </c>
      <c r="W19" s="325">
        <f>'App 3 - Recycling Rate'!S19</f>
        <v>0.21710523339483478</v>
      </c>
      <c r="Y19"/>
      <c r="Z19"/>
    </row>
    <row r="20" spans="1:26" x14ac:dyDescent="0.2">
      <c r="A20" s="8">
        <v>11200</v>
      </c>
      <c r="B20" s="8" t="s">
        <v>90</v>
      </c>
      <c r="C20" s="8" t="s">
        <v>42</v>
      </c>
      <c r="D20" s="29" t="s">
        <v>1</v>
      </c>
      <c r="E20" s="313"/>
      <c r="F20" s="314" t="s">
        <v>677</v>
      </c>
      <c r="G20" s="315" t="s">
        <v>678</v>
      </c>
      <c r="H20" s="316">
        <f>'App 7 - HH &amp; Capita'!G20</f>
        <v>27.472527472527474</v>
      </c>
      <c r="I20" s="313"/>
      <c r="J20" s="317"/>
      <c r="K20" s="318"/>
      <c r="L20" s="319"/>
      <c r="M20" s="313"/>
      <c r="N20" s="320"/>
      <c r="O20" s="320"/>
      <c r="P20" s="321"/>
      <c r="Q20" s="322"/>
      <c r="R20" s="322"/>
      <c r="S20" s="323"/>
      <c r="T20" s="313"/>
      <c r="U20" s="324">
        <f t="shared" si="0"/>
        <v>27.472527472527474</v>
      </c>
      <c r="V20" s="157">
        <v>1</v>
      </c>
      <c r="W20" s="325">
        <f>'App 3 - Recycling Rate'!S20</f>
        <v>4.6474124399284007E-2</v>
      </c>
      <c r="Y20"/>
      <c r="Z20"/>
    </row>
    <row r="21" spans="1:26" x14ac:dyDescent="0.2">
      <c r="A21" s="8">
        <v>11250</v>
      </c>
      <c r="B21" s="8" t="s">
        <v>91</v>
      </c>
      <c r="C21" s="8" t="s">
        <v>42</v>
      </c>
      <c r="D21" s="29" t="s">
        <v>1</v>
      </c>
      <c r="E21" s="313"/>
      <c r="F21" s="314" t="s">
        <v>677</v>
      </c>
      <c r="G21" s="315" t="s">
        <v>678</v>
      </c>
      <c r="H21" s="316">
        <f>'App 7 - HH &amp; Capita'!G21</f>
        <v>20.241961852861035</v>
      </c>
      <c r="I21" s="313"/>
      <c r="J21" s="317"/>
      <c r="K21" s="318"/>
      <c r="L21" s="319"/>
      <c r="M21" s="313"/>
      <c r="N21" s="320"/>
      <c r="O21" s="320"/>
      <c r="P21" s="321"/>
      <c r="Q21" s="322" t="s">
        <v>677</v>
      </c>
      <c r="R21" s="322" t="s">
        <v>676</v>
      </c>
      <c r="S21" s="323">
        <f>'App 7 - HH &amp; Capita'!S21</f>
        <v>4.2226852237686474</v>
      </c>
      <c r="T21" s="313"/>
      <c r="U21" s="324">
        <f t="shared" si="0"/>
        <v>24.464647076629682</v>
      </c>
      <c r="V21" s="157">
        <v>4</v>
      </c>
      <c r="W21" s="325">
        <f>'App 3 - Recycling Rate'!S21</f>
        <v>9.38370932999021E-2</v>
      </c>
      <c r="Y21"/>
      <c r="Z21"/>
    </row>
    <row r="22" spans="1:26" x14ac:dyDescent="0.2">
      <c r="A22" s="8">
        <v>11300</v>
      </c>
      <c r="B22" s="8" t="s">
        <v>92</v>
      </c>
      <c r="C22" s="8" t="s">
        <v>18</v>
      </c>
      <c r="D22" s="29" t="s">
        <v>3</v>
      </c>
      <c r="E22" s="313"/>
      <c r="F22" s="314" t="s">
        <v>680</v>
      </c>
      <c r="G22" s="315" t="s">
        <v>678</v>
      </c>
      <c r="H22" s="316">
        <f>'App 7 - HH &amp; Capita'!G22</f>
        <v>11.358784626226488</v>
      </c>
      <c r="I22" s="313"/>
      <c r="J22" s="317" t="s">
        <v>677</v>
      </c>
      <c r="K22" s="318" t="s">
        <v>676</v>
      </c>
      <c r="L22" s="319">
        <f>'App 7 - HH &amp; Capita'!L22</f>
        <v>2.7677390153889005</v>
      </c>
      <c r="M22" s="313"/>
      <c r="N22" s="320" t="s">
        <v>677</v>
      </c>
      <c r="O22" s="320" t="s">
        <v>676</v>
      </c>
      <c r="P22" s="321">
        <f>'App 7 - HH &amp; Capita'!P22</f>
        <v>3.3409260122232758</v>
      </c>
      <c r="Q22" s="322"/>
      <c r="R22" s="322"/>
      <c r="S22" s="323"/>
      <c r="T22" s="313"/>
      <c r="U22" s="324">
        <f t="shared" si="0"/>
        <v>17.467449653838663</v>
      </c>
      <c r="V22" s="157">
        <v>3</v>
      </c>
      <c r="W22" s="325">
        <f>'App 3 - Recycling Rate'!S22</f>
        <v>0.5990410190015899</v>
      </c>
      <c r="Y22"/>
      <c r="Z22"/>
    </row>
    <row r="23" spans="1:26" x14ac:dyDescent="0.2">
      <c r="A23" s="8">
        <v>11350</v>
      </c>
      <c r="B23" s="8" t="s">
        <v>93</v>
      </c>
      <c r="C23" s="8" t="s">
        <v>20</v>
      </c>
      <c r="D23" s="29" t="s">
        <v>4</v>
      </c>
      <c r="E23" s="313"/>
      <c r="F23" s="314" t="s">
        <v>675</v>
      </c>
      <c r="G23" s="315" t="s">
        <v>676</v>
      </c>
      <c r="H23" s="316">
        <f>'App 7 - HH &amp; Capita'!G23</f>
        <v>8.3991317324650669</v>
      </c>
      <c r="I23" s="313"/>
      <c r="J23" s="317" t="s">
        <v>677</v>
      </c>
      <c r="K23" s="318" t="s">
        <v>676</v>
      </c>
      <c r="L23" s="319">
        <f>'App 7 - HH &amp; Capita'!L23</f>
        <v>7.0154347743120873</v>
      </c>
      <c r="M23" s="313"/>
      <c r="N23" s="320"/>
      <c r="O23" s="320"/>
      <c r="P23" s="321"/>
      <c r="Q23" s="322" t="s">
        <v>677</v>
      </c>
      <c r="R23" s="322" t="s">
        <v>678</v>
      </c>
      <c r="S23" s="323">
        <f>'App 7 - HH &amp; Capita'!S23</f>
        <v>10.018901584335046</v>
      </c>
      <c r="T23" s="313"/>
      <c r="U23" s="324">
        <f t="shared" si="0"/>
        <v>25.4334680911122</v>
      </c>
      <c r="V23" s="157">
        <v>4</v>
      </c>
      <c r="W23" s="325">
        <f>'App 3 - Recycling Rate'!S23</f>
        <v>0.61714591078266789</v>
      </c>
      <c r="Y23"/>
      <c r="Z23"/>
    </row>
    <row r="24" spans="1:26" x14ac:dyDescent="0.2">
      <c r="A24" s="8">
        <v>11400</v>
      </c>
      <c r="B24" s="8" t="s">
        <v>94</v>
      </c>
      <c r="C24" s="8" t="s">
        <v>42</v>
      </c>
      <c r="D24" s="29" t="s">
        <v>1</v>
      </c>
      <c r="E24" s="313"/>
      <c r="F24" s="314" t="s">
        <v>677</v>
      </c>
      <c r="G24" s="315" t="s">
        <v>678</v>
      </c>
      <c r="H24" s="316">
        <f>'App 7 - HH &amp; Capita'!G24</f>
        <v>11.975230810912198</v>
      </c>
      <c r="I24" s="313"/>
      <c r="J24" s="317" t="s">
        <v>677</v>
      </c>
      <c r="K24" s="318" t="s">
        <v>676</v>
      </c>
      <c r="L24" s="319">
        <f>'App 7 - HH &amp; Capita'!L24</f>
        <v>3.2269762207448474</v>
      </c>
      <c r="M24" s="313"/>
      <c r="N24" s="320"/>
      <c r="O24" s="320"/>
      <c r="P24" s="321"/>
      <c r="Q24" s="322"/>
      <c r="R24" s="322"/>
      <c r="S24" s="323"/>
      <c r="T24" s="313"/>
      <c r="U24" s="324">
        <f t="shared" si="0"/>
        <v>15.202207031657045</v>
      </c>
      <c r="V24" s="157">
        <v>2</v>
      </c>
      <c r="W24" s="325">
        <f>'App 3 - Recycling Rate'!S24</f>
        <v>0.18661876729793542</v>
      </c>
      <c r="Y24"/>
      <c r="Z24"/>
    </row>
    <row r="25" spans="1:26" x14ac:dyDescent="0.2">
      <c r="A25" s="8">
        <v>11450</v>
      </c>
      <c r="B25" s="8" t="s">
        <v>76</v>
      </c>
      <c r="C25" s="8" t="s">
        <v>193</v>
      </c>
      <c r="D25" s="29" t="s">
        <v>3</v>
      </c>
      <c r="E25" s="313"/>
      <c r="F25" s="314" t="s">
        <v>677</v>
      </c>
      <c r="G25" s="315" t="s">
        <v>678</v>
      </c>
      <c r="H25" s="316">
        <f>'App 7 - HH &amp; Capita'!G25</f>
        <v>13.126365352608978</v>
      </c>
      <c r="I25" s="313"/>
      <c r="J25" s="317" t="s">
        <v>677</v>
      </c>
      <c r="K25" s="318" t="s">
        <v>678</v>
      </c>
      <c r="L25" s="319">
        <f>'App 7 - HH &amp; Capita'!L25</f>
        <v>5.608417062427983</v>
      </c>
      <c r="M25" s="313"/>
      <c r="N25" s="320" t="s">
        <v>677</v>
      </c>
      <c r="O25" s="320" t="s">
        <v>678</v>
      </c>
      <c r="P25" s="321">
        <f>'App 7 - HH &amp; Capita'!P25</f>
        <v>7.2574817734414543</v>
      </c>
      <c r="Q25" s="322"/>
      <c r="R25" s="322"/>
      <c r="S25" s="323"/>
      <c r="T25" s="313"/>
      <c r="U25" s="324">
        <f t="shared" si="0"/>
        <v>25.992264188478416</v>
      </c>
      <c r="V25" s="157">
        <v>3</v>
      </c>
      <c r="W25" s="325">
        <f>'App 3 - Recycling Rate'!S25</f>
        <v>0.54024712441307032</v>
      </c>
      <c r="Y25"/>
      <c r="Z25"/>
    </row>
    <row r="26" spans="1:26" x14ac:dyDescent="0.2">
      <c r="A26" s="8">
        <v>11500</v>
      </c>
      <c r="B26" s="8" t="s">
        <v>53</v>
      </c>
      <c r="C26" s="8" t="s">
        <v>193</v>
      </c>
      <c r="D26" s="29" t="s">
        <v>3</v>
      </c>
      <c r="E26" s="313"/>
      <c r="F26" s="314" t="s">
        <v>675</v>
      </c>
      <c r="G26" s="315" t="s">
        <v>678</v>
      </c>
      <c r="H26" s="316">
        <f>'App 7 - HH &amp; Capita'!G26</f>
        <v>12.234470090640688</v>
      </c>
      <c r="I26" s="313"/>
      <c r="J26" s="317" t="s">
        <v>677</v>
      </c>
      <c r="K26" s="318" t="s">
        <v>676</v>
      </c>
      <c r="L26" s="319">
        <f>'App 7 - HH &amp; Capita'!L26</f>
        <v>3.7640446533368492</v>
      </c>
      <c r="M26" s="313"/>
      <c r="N26" s="320" t="s">
        <v>677</v>
      </c>
      <c r="O26" s="320" t="s">
        <v>676</v>
      </c>
      <c r="P26" s="321">
        <f>'App 7 - HH &amp; Capita'!P26</f>
        <v>6.3437074705737864</v>
      </c>
      <c r="Q26" s="322"/>
      <c r="R26" s="322"/>
      <c r="S26" s="323"/>
      <c r="T26" s="313"/>
      <c r="U26" s="324">
        <f t="shared" si="0"/>
        <v>22.342222214551324</v>
      </c>
      <c r="V26" s="157">
        <v>3</v>
      </c>
      <c r="W26" s="325">
        <f>'App 3 - Recycling Rate'!S26</f>
        <v>0.37814730974099886</v>
      </c>
      <c r="Y26"/>
      <c r="Z26"/>
    </row>
    <row r="27" spans="1:26" x14ac:dyDescent="0.2">
      <c r="A27" s="8">
        <v>11520</v>
      </c>
      <c r="B27" s="8" t="s">
        <v>95</v>
      </c>
      <c r="C27" s="8" t="s">
        <v>18</v>
      </c>
      <c r="D27" s="29" t="s">
        <v>3</v>
      </c>
      <c r="E27" s="313"/>
      <c r="F27" s="314" t="s">
        <v>680</v>
      </c>
      <c r="G27" s="315" t="s">
        <v>678</v>
      </c>
      <c r="H27" s="316">
        <f>'App 7 - HH &amp; Capita'!G27</f>
        <v>9.5926578588226068</v>
      </c>
      <c r="I27" s="313"/>
      <c r="J27" s="317" t="s">
        <v>677</v>
      </c>
      <c r="K27" s="318" t="s">
        <v>676</v>
      </c>
      <c r="L27" s="319">
        <f>'App 7 - HH &amp; Capita'!L27</f>
        <v>3.3612720473767834</v>
      </c>
      <c r="M27" s="313"/>
      <c r="N27" s="320" t="s">
        <v>677</v>
      </c>
      <c r="O27" s="320" t="s">
        <v>676</v>
      </c>
      <c r="P27" s="321">
        <f>'App 7 - HH &amp; Capita'!P27</f>
        <v>2.4805806544800912</v>
      </c>
      <c r="Q27" s="322"/>
      <c r="R27" s="322"/>
      <c r="S27" s="323"/>
      <c r="T27" s="313"/>
      <c r="U27" s="324">
        <f t="shared" si="0"/>
        <v>15.434510560679481</v>
      </c>
      <c r="V27" s="157">
        <v>3</v>
      </c>
      <c r="W27" s="325">
        <f>'App 3 - Recycling Rate'!S27</f>
        <v>0.39123292094386825</v>
      </c>
      <c r="Y27"/>
      <c r="Z27"/>
    </row>
    <row r="28" spans="1:26" x14ac:dyDescent="0.2">
      <c r="A28" s="8">
        <v>11570</v>
      </c>
      <c r="B28" s="8" t="s">
        <v>96</v>
      </c>
      <c r="C28" s="8" t="s">
        <v>18</v>
      </c>
      <c r="D28" s="29" t="s">
        <v>3</v>
      </c>
      <c r="E28" s="313"/>
      <c r="F28" s="314" t="s">
        <v>680</v>
      </c>
      <c r="G28" s="315" t="s">
        <v>678</v>
      </c>
      <c r="H28" s="316">
        <f>'App 7 - HH &amp; Capita'!G28</f>
        <v>13.085234093637455</v>
      </c>
      <c r="I28" s="313"/>
      <c r="J28" s="317" t="s">
        <v>677</v>
      </c>
      <c r="K28" s="318" t="s">
        <v>676</v>
      </c>
      <c r="L28" s="319">
        <f>'App 7 - HH &amp; Capita'!L28</f>
        <v>3.2369771730031967</v>
      </c>
      <c r="M28" s="313"/>
      <c r="N28" s="320" t="s">
        <v>677</v>
      </c>
      <c r="O28" s="320" t="s">
        <v>676</v>
      </c>
      <c r="P28" s="321">
        <f>'App 7 - HH &amp; Capita'!P28</f>
        <v>5.8705257922245746</v>
      </c>
      <c r="Q28" s="322"/>
      <c r="R28" s="322"/>
      <c r="S28" s="323"/>
      <c r="T28" s="313"/>
      <c r="U28" s="324">
        <f t="shared" si="0"/>
        <v>22.192737058865227</v>
      </c>
      <c r="V28" s="157">
        <v>3</v>
      </c>
      <c r="W28" s="325">
        <f>'App 3 - Recycling Rate'!S28</f>
        <v>0.34935926581518095</v>
      </c>
      <c r="Y28"/>
      <c r="Z28"/>
    </row>
    <row r="29" spans="1:26" x14ac:dyDescent="0.2">
      <c r="A29" s="8">
        <v>11600</v>
      </c>
      <c r="B29" s="8" t="s">
        <v>97</v>
      </c>
      <c r="C29" s="8" t="s">
        <v>75</v>
      </c>
      <c r="D29" s="29" t="s">
        <v>1</v>
      </c>
      <c r="E29" s="313"/>
      <c r="F29" s="314" t="s">
        <v>677</v>
      </c>
      <c r="G29" s="315" t="s">
        <v>678</v>
      </c>
      <c r="H29" s="316">
        <f>'App 7 - HH &amp; Capita'!G29</f>
        <v>23.722165991902834</v>
      </c>
      <c r="I29" s="313"/>
      <c r="J29" s="317"/>
      <c r="K29" s="318"/>
      <c r="L29" s="319"/>
      <c r="M29" s="313"/>
      <c r="N29" s="320"/>
      <c r="O29" s="320"/>
      <c r="P29" s="321"/>
      <c r="Q29" s="322"/>
      <c r="R29" s="322"/>
      <c r="S29" s="323"/>
      <c r="T29" s="313"/>
      <c r="U29" s="324">
        <f t="shared" si="0"/>
        <v>23.722165991902834</v>
      </c>
      <c r="V29" s="157">
        <v>1</v>
      </c>
      <c r="W29" s="325">
        <f>'App 3 - Recycling Rate'!S29</f>
        <v>0.44070756980990999</v>
      </c>
      <c r="Y29"/>
      <c r="Z29"/>
    </row>
    <row r="30" spans="1:26" x14ac:dyDescent="0.2">
      <c r="A30" s="8">
        <v>11650</v>
      </c>
      <c r="B30" s="8" t="s">
        <v>98</v>
      </c>
      <c r="C30" s="8" t="s">
        <v>25</v>
      </c>
      <c r="D30" s="29" t="s">
        <v>2</v>
      </c>
      <c r="E30" s="313"/>
      <c r="F30" s="314" t="s">
        <v>675</v>
      </c>
      <c r="G30" s="315" t="s">
        <v>678</v>
      </c>
      <c r="H30" s="316">
        <f>'App 7 - HH &amp; Capita'!G30</f>
        <v>11.827850569195643</v>
      </c>
      <c r="I30" s="313"/>
      <c r="J30" s="317" t="s">
        <v>677</v>
      </c>
      <c r="K30" s="318" t="s">
        <v>676</v>
      </c>
      <c r="L30" s="319">
        <f>'App 7 - HH &amp; Capita'!L30</f>
        <v>4.2081342291524448</v>
      </c>
      <c r="M30" s="313"/>
      <c r="N30" s="320" t="s">
        <v>677</v>
      </c>
      <c r="O30" s="320" t="s">
        <v>676</v>
      </c>
      <c r="P30" s="321">
        <f>'App 7 - HH &amp; Capita'!P30</f>
        <v>6.530797470055874</v>
      </c>
      <c r="Q30" s="322"/>
      <c r="R30" s="322"/>
      <c r="S30" s="323"/>
      <c r="T30" s="313"/>
      <c r="U30" s="324">
        <f t="shared" si="0"/>
        <v>22.566782268403962</v>
      </c>
      <c r="V30" s="157">
        <v>3</v>
      </c>
      <c r="W30" s="325">
        <f>'App 3 - Recycling Rate'!S30</f>
        <v>0.41106013187542118</v>
      </c>
      <c r="Y30"/>
      <c r="Z30"/>
    </row>
    <row r="31" spans="1:26" x14ac:dyDescent="0.2">
      <c r="A31" s="8">
        <v>11700</v>
      </c>
      <c r="B31" s="8" t="s">
        <v>99</v>
      </c>
      <c r="C31" s="8" t="s">
        <v>42</v>
      </c>
      <c r="D31" s="29" t="s">
        <v>1</v>
      </c>
      <c r="E31" s="313"/>
      <c r="F31" s="314" t="s">
        <v>677</v>
      </c>
      <c r="G31" s="315" t="s">
        <v>678</v>
      </c>
      <c r="H31" s="316">
        <f>'App 7 - HH &amp; Capita'!G31</f>
        <v>11.63474911736386</v>
      </c>
      <c r="I31" s="313"/>
      <c r="J31" s="317"/>
      <c r="K31" s="318"/>
      <c r="L31" s="319"/>
      <c r="M31" s="313"/>
      <c r="N31" s="320"/>
      <c r="O31" s="320"/>
      <c r="P31" s="321"/>
      <c r="Q31" s="322"/>
      <c r="R31" s="322"/>
      <c r="S31" s="323"/>
      <c r="T31" s="313"/>
      <c r="U31" s="324">
        <f t="shared" si="0"/>
        <v>11.63474911736386</v>
      </c>
      <c r="V31" s="157">
        <v>1</v>
      </c>
      <c r="W31" s="325">
        <f>'App 3 - Recycling Rate'!S31</f>
        <v>0.30260114543951977</v>
      </c>
      <c r="Y31"/>
      <c r="Z31"/>
    </row>
    <row r="32" spans="1:26" x14ac:dyDescent="0.2">
      <c r="A32" s="8">
        <v>11720</v>
      </c>
      <c r="B32" s="8" t="s">
        <v>100</v>
      </c>
      <c r="C32" s="8" t="s">
        <v>25</v>
      </c>
      <c r="D32" s="29" t="s">
        <v>2</v>
      </c>
      <c r="E32" s="313"/>
      <c r="F32" s="314" t="s">
        <v>677</v>
      </c>
      <c r="G32" s="315" t="s">
        <v>678</v>
      </c>
      <c r="H32" s="316">
        <f>'App 7 - HH &amp; Capita'!G32</f>
        <v>13.314544976925346</v>
      </c>
      <c r="I32" s="313"/>
      <c r="J32" s="317" t="s">
        <v>677</v>
      </c>
      <c r="K32" s="318" t="s">
        <v>676</v>
      </c>
      <c r="L32" s="319">
        <f>'App 7 - HH &amp; Capita'!L32</f>
        <v>3.1849251312009503</v>
      </c>
      <c r="M32" s="313"/>
      <c r="N32" s="320" t="s">
        <v>677</v>
      </c>
      <c r="O32" s="320" t="s">
        <v>676</v>
      </c>
      <c r="P32" s="321">
        <f>'App 7 - HH &amp; Capita'!P32</f>
        <v>5.8281075515908105</v>
      </c>
      <c r="Q32" s="322"/>
      <c r="R32" s="322"/>
      <c r="S32" s="323"/>
      <c r="T32" s="313"/>
      <c r="U32" s="324">
        <f t="shared" si="0"/>
        <v>22.327577659717107</v>
      </c>
      <c r="V32" s="157">
        <v>3</v>
      </c>
      <c r="W32" s="325">
        <f>'App 3 - Recycling Rate'!S32</f>
        <v>0.35593285713874306</v>
      </c>
      <c r="Y32"/>
      <c r="Z32"/>
    </row>
    <row r="33" spans="1:26" x14ac:dyDescent="0.2">
      <c r="A33" s="8">
        <v>11730</v>
      </c>
      <c r="B33" s="8" t="s">
        <v>101</v>
      </c>
      <c r="C33" s="8" t="s">
        <v>20</v>
      </c>
      <c r="D33" s="29" t="s">
        <v>4</v>
      </c>
      <c r="E33" s="313"/>
      <c r="F33" s="314" t="s">
        <v>677</v>
      </c>
      <c r="G33" s="315" t="s">
        <v>676</v>
      </c>
      <c r="H33" s="316">
        <f>'App 7 - HH &amp; Capita'!G33</f>
        <v>7.1299391402416097</v>
      </c>
      <c r="I33" s="313"/>
      <c r="J33" s="317" t="s">
        <v>681</v>
      </c>
      <c r="K33" s="318" t="s">
        <v>676</v>
      </c>
      <c r="L33" s="319">
        <f>'App 7 - HH &amp; Capita'!L33</f>
        <v>4.4171563110617056</v>
      </c>
      <c r="M33" s="313"/>
      <c r="N33" s="320"/>
      <c r="O33" s="320"/>
      <c r="P33" s="321"/>
      <c r="Q33" s="322" t="s">
        <v>677</v>
      </c>
      <c r="R33" s="322" t="s">
        <v>678</v>
      </c>
      <c r="S33" s="323">
        <f>'App 7 - HH &amp; Capita'!S33</f>
        <v>8.9818209464596457</v>
      </c>
      <c r="T33" s="313"/>
      <c r="U33" s="324">
        <f t="shared" si="0"/>
        <v>20.528916397762963</v>
      </c>
      <c r="V33" s="157">
        <v>4</v>
      </c>
      <c r="W33" s="325">
        <f>'App 3 - Recycling Rate'!S33</f>
        <v>0.58966204636832009</v>
      </c>
      <c r="Y33"/>
      <c r="Z33"/>
    </row>
    <row r="34" spans="1:26" x14ac:dyDescent="0.2">
      <c r="A34" s="8">
        <v>11750</v>
      </c>
      <c r="B34" s="8" t="s">
        <v>102</v>
      </c>
      <c r="C34" s="8" t="s">
        <v>42</v>
      </c>
      <c r="D34" s="29" t="s">
        <v>1</v>
      </c>
      <c r="E34" s="313"/>
      <c r="F34" s="314" t="s">
        <v>677</v>
      </c>
      <c r="G34" s="315" t="s">
        <v>678</v>
      </c>
      <c r="H34" s="316">
        <f>'App 7 - HH &amp; Capita'!G34</f>
        <v>9.5444827435752</v>
      </c>
      <c r="I34" s="313"/>
      <c r="J34" s="317"/>
      <c r="K34" s="318"/>
      <c r="L34" s="319"/>
      <c r="M34" s="313"/>
      <c r="N34" s="320"/>
      <c r="O34" s="320"/>
      <c r="P34" s="321"/>
      <c r="Q34" s="322"/>
      <c r="R34" s="322"/>
      <c r="S34" s="323"/>
      <c r="T34" s="313"/>
      <c r="U34" s="324">
        <f t="shared" si="0"/>
        <v>9.5444827435752</v>
      </c>
      <c r="V34" s="157">
        <v>1</v>
      </c>
      <c r="W34" s="325">
        <f>'App 3 - Recycling Rate'!S34</f>
        <v>0.20131206113160924</v>
      </c>
      <c r="Y34"/>
      <c r="Z34"/>
    </row>
    <row r="35" spans="1:26" x14ac:dyDescent="0.2">
      <c r="A35" s="8">
        <v>11800</v>
      </c>
      <c r="B35" s="8" t="s">
        <v>49</v>
      </c>
      <c r="C35" s="8" t="s">
        <v>43</v>
      </c>
      <c r="D35" s="29" t="s">
        <v>4</v>
      </c>
      <c r="E35" s="313"/>
      <c r="F35" s="314" t="s">
        <v>677</v>
      </c>
      <c r="G35" s="315" t="s">
        <v>676</v>
      </c>
      <c r="H35" s="316">
        <f>'App 7 - HH &amp; Capita'!G35</f>
        <v>8.8217436558287083</v>
      </c>
      <c r="I35" s="313"/>
      <c r="J35" s="317" t="s">
        <v>677</v>
      </c>
      <c r="K35" s="318" t="s">
        <v>676</v>
      </c>
      <c r="L35" s="319">
        <f>'App 7 - HH &amp; Capita'!L35</f>
        <v>4.4808715398791552</v>
      </c>
      <c r="M35" s="313"/>
      <c r="N35" s="320"/>
      <c r="O35" s="320"/>
      <c r="P35" s="321"/>
      <c r="Q35" s="322" t="s">
        <v>677</v>
      </c>
      <c r="R35" s="322" t="s">
        <v>678</v>
      </c>
      <c r="S35" s="323">
        <f>'App 7 - HH &amp; Capita'!S35</f>
        <v>7.9408264954510521</v>
      </c>
      <c r="T35" s="313"/>
      <c r="U35" s="324">
        <f t="shared" si="0"/>
        <v>21.243441691158914</v>
      </c>
      <c r="V35" s="157">
        <v>4</v>
      </c>
      <c r="W35" s="325">
        <f>'App 3 - Recycling Rate'!S35</f>
        <v>0.55210038645715265</v>
      </c>
      <c r="Y35"/>
      <c r="Z35"/>
    </row>
    <row r="36" spans="1:26" x14ac:dyDescent="0.2">
      <c r="A36" s="8">
        <v>12000</v>
      </c>
      <c r="B36" s="8" t="s">
        <v>103</v>
      </c>
      <c r="C36" s="8" t="s">
        <v>22</v>
      </c>
      <c r="D36" s="29" t="s">
        <v>1</v>
      </c>
      <c r="E36" s="313"/>
      <c r="F36" s="314" t="s">
        <v>675</v>
      </c>
      <c r="G36" s="315" t="s">
        <v>678</v>
      </c>
      <c r="H36" s="316">
        <f>'App 7 - HH &amp; Capita'!G36</f>
        <v>8.6806106264869154</v>
      </c>
      <c r="I36" s="313"/>
      <c r="J36" s="317" t="s">
        <v>677</v>
      </c>
      <c r="K36" s="318" t="s">
        <v>676</v>
      </c>
      <c r="L36" s="319">
        <f>'App 7 - HH &amp; Capita'!L36</f>
        <v>3.6539578956778263</v>
      </c>
      <c r="M36" s="313"/>
      <c r="N36" s="320"/>
      <c r="O36" s="320"/>
      <c r="P36" s="321"/>
      <c r="Q36" s="322" t="s">
        <v>677</v>
      </c>
      <c r="R36" s="322" t="s">
        <v>676</v>
      </c>
      <c r="S36" s="323">
        <f>'App 7 - HH &amp; Capita'!S36</f>
        <v>3.6316684894883946</v>
      </c>
      <c r="T36" s="313"/>
      <c r="U36" s="324">
        <f t="shared" si="0"/>
        <v>15.966237011653135</v>
      </c>
      <c r="V36" s="157">
        <v>4</v>
      </c>
      <c r="W36" s="325">
        <f>'App 3 - Recycling Rate'!S36</f>
        <v>0.47211278835794879</v>
      </c>
      <c r="Y36"/>
      <c r="Z36"/>
    </row>
    <row r="37" spans="1:26" x14ac:dyDescent="0.2">
      <c r="A37" s="8">
        <v>12150</v>
      </c>
      <c r="B37" s="8" t="s">
        <v>104</v>
      </c>
      <c r="C37" s="8" t="s">
        <v>42</v>
      </c>
      <c r="D37" s="29" t="s">
        <v>1</v>
      </c>
      <c r="E37" s="313"/>
      <c r="F37" s="314" t="s">
        <v>677</v>
      </c>
      <c r="G37" s="315" t="s">
        <v>678</v>
      </c>
      <c r="H37" s="316">
        <f>'App 7 - HH &amp; Capita'!G37</f>
        <v>30.477054052692559</v>
      </c>
      <c r="I37" s="313"/>
      <c r="J37" s="317"/>
      <c r="K37" s="318"/>
      <c r="L37" s="319"/>
      <c r="M37" s="313"/>
      <c r="N37" s="320"/>
      <c r="O37" s="320"/>
      <c r="P37" s="321"/>
      <c r="Q37" s="322"/>
      <c r="R37" s="322"/>
      <c r="S37" s="323"/>
      <c r="T37" s="313"/>
      <c r="U37" s="324">
        <f t="shared" si="0"/>
        <v>30.477054052692559</v>
      </c>
      <c r="V37" s="157">
        <v>1</v>
      </c>
      <c r="W37" s="325">
        <f>'App 3 - Recycling Rate'!S37</f>
        <v>0.16860910376459201</v>
      </c>
      <c r="Y37"/>
      <c r="Z37"/>
    </row>
    <row r="38" spans="1:26" x14ac:dyDescent="0.2">
      <c r="A38" s="8">
        <v>12160</v>
      </c>
      <c r="B38" s="8" t="s">
        <v>105</v>
      </c>
      <c r="C38" s="8" t="s">
        <v>22</v>
      </c>
      <c r="D38" s="29" t="s">
        <v>1</v>
      </c>
      <c r="E38" s="313"/>
      <c r="F38" s="314" t="s">
        <v>675</v>
      </c>
      <c r="G38" s="315" t="s">
        <v>678</v>
      </c>
      <c r="H38" s="316">
        <f>'App 7 - HH &amp; Capita'!G38</f>
        <v>9.0645032051282062</v>
      </c>
      <c r="I38" s="313"/>
      <c r="J38" s="317" t="s">
        <v>677</v>
      </c>
      <c r="K38" s="318" t="s">
        <v>676</v>
      </c>
      <c r="L38" s="319">
        <f>'App 7 - HH &amp; Capita'!L38</f>
        <v>3.1827509380863037</v>
      </c>
      <c r="M38" s="313"/>
      <c r="N38" s="320" t="s">
        <v>677</v>
      </c>
      <c r="O38" s="320" t="s">
        <v>676</v>
      </c>
      <c r="P38" s="321">
        <f>'App 7 - HH &amp; Capita'!P38</f>
        <v>4.8039625231246639</v>
      </c>
      <c r="Q38" s="322" t="s">
        <v>677</v>
      </c>
      <c r="R38" s="322" t="s">
        <v>676</v>
      </c>
      <c r="S38" s="323">
        <f>'App 7 - HH &amp; Capita'!S38</f>
        <v>4.8262413596296536</v>
      </c>
      <c r="T38" s="313"/>
      <c r="U38" s="324">
        <f t="shared" si="0"/>
        <v>21.877458025968828</v>
      </c>
      <c r="V38" s="157">
        <v>5</v>
      </c>
      <c r="W38" s="325">
        <f>'App 3 - Recycling Rate'!S38</f>
        <v>0.60292699935639138</v>
      </c>
      <c r="Y38"/>
      <c r="Z38"/>
    </row>
    <row r="39" spans="1:26" x14ac:dyDescent="0.2">
      <c r="A39" s="8">
        <v>12350</v>
      </c>
      <c r="B39" s="8" t="s">
        <v>106</v>
      </c>
      <c r="C39" s="8" t="s">
        <v>42</v>
      </c>
      <c r="D39" s="29" t="s">
        <v>1</v>
      </c>
      <c r="E39" s="313"/>
      <c r="F39" s="314" t="s">
        <v>677</v>
      </c>
      <c r="G39" s="315" t="s">
        <v>678</v>
      </c>
      <c r="H39" s="316">
        <f>'App 7 - HH &amp; Capita'!G39</f>
        <v>12.357676965067267</v>
      </c>
      <c r="I39" s="313"/>
      <c r="J39" s="317" t="s">
        <v>677</v>
      </c>
      <c r="K39" s="318" t="s">
        <v>676</v>
      </c>
      <c r="L39" s="319">
        <f>'App 7 - HH &amp; Capita'!L39</f>
        <v>4.4447738365298681</v>
      </c>
      <c r="M39" s="313"/>
      <c r="N39" s="320"/>
      <c r="O39" s="320"/>
      <c r="P39" s="321"/>
      <c r="Q39" s="322"/>
      <c r="R39" s="322"/>
      <c r="S39" s="323"/>
      <c r="T39" s="313"/>
      <c r="U39" s="324">
        <f t="shared" si="0"/>
        <v>16.802450801597136</v>
      </c>
      <c r="V39" s="157">
        <v>2</v>
      </c>
      <c r="W39" s="325">
        <f>'App 3 - Recycling Rate'!S39</f>
        <v>0.19351124040437109</v>
      </c>
      <c r="Y39"/>
      <c r="Z39"/>
    </row>
    <row r="40" spans="1:26" x14ac:dyDescent="0.2">
      <c r="A40" s="8">
        <v>12380</v>
      </c>
      <c r="B40" s="8" t="s">
        <v>54</v>
      </c>
      <c r="C40" s="8" t="s">
        <v>19</v>
      </c>
      <c r="D40" s="29" t="s">
        <v>3</v>
      </c>
      <c r="E40" s="313"/>
      <c r="F40" s="314" t="s">
        <v>677</v>
      </c>
      <c r="G40" s="315" t="s">
        <v>678</v>
      </c>
      <c r="H40" s="316">
        <f>'App 7 - HH &amp; Capita'!G40</f>
        <v>17.103429974125923</v>
      </c>
      <c r="I40" s="313"/>
      <c r="J40" s="317" t="s">
        <v>677</v>
      </c>
      <c r="K40" s="318" t="s">
        <v>676</v>
      </c>
      <c r="L40" s="319">
        <f>'App 7 - HH &amp; Capita'!L40</f>
        <v>2.6552827521446907</v>
      </c>
      <c r="M40" s="313"/>
      <c r="N40" s="320" t="s">
        <v>677</v>
      </c>
      <c r="O40" s="320" t="s">
        <v>676</v>
      </c>
      <c r="P40" s="321">
        <f>'App 7 - HH &amp; Capita'!P40</f>
        <v>5.5204736862824104</v>
      </c>
      <c r="Q40" s="322"/>
      <c r="R40" s="322"/>
      <c r="S40" s="323"/>
      <c r="T40" s="313"/>
      <c r="U40" s="324">
        <f t="shared" si="0"/>
        <v>25.279186412553024</v>
      </c>
      <c r="V40" s="157">
        <v>3</v>
      </c>
      <c r="W40" s="325">
        <f>'App 3 - Recycling Rate'!S40</f>
        <v>0.40735889541890719</v>
      </c>
      <c r="Y40"/>
      <c r="Z40"/>
    </row>
    <row r="41" spans="1:26" x14ac:dyDescent="0.2">
      <c r="A41" s="8">
        <v>12390</v>
      </c>
      <c r="B41" s="8" t="s">
        <v>107</v>
      </c>
      <c r="C41" s="8" t="s">
        <v>42</v>
      </c>
      <c r="D41" s="29" t="s">
        <v>1</v>
      </c>
      <c r="E41" s="313"/>
      <c r="F41" s="314" t="s">
        <v>677</v>
      </c>
      <c r="G41" s="315" t="s">
        <v>678</v>
      </c>
      <c r="H41" s="316">
        <f>'App 7 - HH &amp; Capita'!G41</f>
        <v>10.168345189674451</v>
      </c>
      <c r="I41" s="313"/>
      <c r="J41" s="317" t="s">
        <v>677</v>
      </c>
      <c r="K41" s="318" t="s">
        <v>676</v>
      </c>
      <c r="L41" s="319">
        <f>'App 7 - HH &amp; Capita'!L41</f>
        <v>3.1545530780573965</v>
      </c>
      <c r="M41" s="313"/>
      <c r="N41" s="320"/>
      <c r="O41" s="320"/>
      <c r="P41" s="321"/>
      <c r="Q41" s="322" t="s">
        <v>677</v>
      </c>
      <c r="R41" s="322" t="s">
        <v>678</v>
      </c>
      <c r="S41" s="323">
        <f>'App 7 - HH &amp; Capita'!S41</f>
        <v>8.5003384654913425</v>
      </c>
      <c r="T41" s="313"/>
      <c r="U41" s="324">
        <f t="shared" si="0"/>
        <v>21.82323673322319</v>
      </c>
      <c r="V41" s="157">
        <v>4</v>
      </c>
      <c r="W41" s="325">
        <f>'App 3 - Recycling Rate'!S41</f>
        <v>0.50958614747860564</v>
      </c>
      <c r="Y41"/>
      <c r="Z41"/>
    </row>
    <row r="42" spans="1:26" x14ac:dyDescent="0.2">
      <c r="A42" s="8">
        <v>12700</v>
      </c>
      <c r="B42" s="8" t="s">
        <v>108</v>
      </c>
      <c r="C42" s="8" t="s">
        <v>25</v>
      </c>
      <c r="D42" s="29" t="s">
        <v>4</v>
      </c>
      <c r="E42" s="313"/>
      <c r="F42" s="314" t="s">
        <v>677</v>
      </c>
      <c r="G42" s="315" t="s">
        <v>678</v>
      </c>
      <c r="H42" s="316">
        <f>'App 7 - HH &amp; Capita'!G42</f>
        <v>13.551952537689463</v>
      </c>
      <c r="I42" s="313"/>
      <c r="J42" s="317" t="s">
        <v>677</v>
      </c>
      <c r="K42" s="318" t="s">
        <v>676</v>
      </c>
      <c r="L42" s="319">
        <f>'App 7 - HH &amp; Capita'!L42</f>
        <v>3.4657424686750198</v>
      </c>
      <c r="M42" s="313"/>
      <c r="N42" s="320"/>
      <c r="O42" s="320"/>
      <c r="P42" s="321"/>
      <c r="Q42" s="322"/>
      <c r="R42" s="322"/>
      <c r="S42" s="323"/>
      <c r="T42" s="313"/>
      <c r="U42" s="324">
        <f t="shared" si="0"/>
        <v>17.017695006364484</v>
      </c>
      <c r="V42" s="157">
        <v>2</v>
      </c>
      <c r="W42" s="325">
        <f>'App 3 - Recycling Rate'!S42</f>
        <v>0.22707227251024126</v>
      </c>
      <c r="Y42"/>
      <c r="Z42"/>
    </row>
    <row r="43" spans="1:26" x14ac:dyDescent="0.2">
      <c r="A43" s="8">
        <v>12730</v>
      </c>
      <c r="B43" s="8" t="s">
        <v>109</v>
      </c>
      <c r="C43" s="8" t="s">
        <v>73</v>
      </c>
      <c r="D43" s="29" t="s">
        <v>1</v>
      </c>
      <c r="E43" s="313"/>
      <c r="F43" s="314" t="s">
        <v>677</v>
      </c>
      <c r="G43" s="315" t="s">
        <v>678</v>
      </c>
      <c r="H43" s="316">
        <f>'App 7 - HH &amp; Capita'!G43</f>
        <v>16.105673650405262</v>
      </c>
      <c r="I43" s="313"/>
      <c r="J43" s="317"/>
      <c r="K43" s="318"/>
      <c r="L43" s="319"/>
      <c r="M43" s="313"/>
      <c r="N43" s="320"/>
      <c r="O43" s="320"/>
      <c r="P43" s="321"/>
      <c r="Q43" s="322"/>
      <c r="R43" s="322"/>
      <c r="S43" s="323"/>
      <c r="T43" s="313"/>
      <c r="U43" s="324">
        <f t="shared" si="0"/>
        <v>16.105673650405262</v>
      </c>
      <c r="V43" s="157">
        <v>1</v>
      </c>
      <c r="W43" s="325">
        <f>'App 3 - Recycling Rate'!S43</f>
        <v>0.14967787374865299</v>
      </c>
      <c r="Y43"/>
      <c r="Z43"/>
    </row>
    <row r="44" spans="1:26" x14ac:dyDescent="0.2">
      <c r="A44" s="8">
        <v>12750</v>
      </c>
      <c r="B44" s="8" t="s">
        <v>110</v>
      </c>
      <c r="C44" s="8" t="s">
        <v>74</v>
      </c>
      <c r="D44" s="29" t="s">
        <v>1</v>
      </c>
      <c r="E44" s="313"/>
      <c r="F44" s="314" t="s">
        <v>682</v>
      </c>
      <c r="G44" s="315" t="s">
        <v>678</v>
      </c>
      <c r="H44" s="316">
        <f>'App 7 - HH &amp; Capita'!G44</f>
        <v>5.7085484796328165</v>
      </c>
      <c r="I44" s="313"/>
      <c r="J44" s="317" t="s">
        <v>677</v>
      </c>
      <c r="K44" s="318" t="s">
        <v>676</v>
      </c>
      <c r="L44" s="319">
        <f>'App 7 - HH &amp; Capita'!L44</f>
        <v>3.3824092774116798</v>
      </c>
      <c r="M44" s="313"/>
      <c r="N44" s="320" t="s">
        <v>677</v>
      </c>
      <c r="O44" s="320" t="s">
        <v>676</v>
      </c>
      <c r="P44" s="321">
        <f>'App 7 - HH &amp; Capita'!P44</f>
        <v>5.0950948435548025</v>
      </c>
      <c r="Q44" s="322"/>
      <c r="R44" s="322"/>
      <c r="S44" s="323"/>
      <c r="T44" s="313"/>
      <c r="U44" s="324">
        <f t="shared" si="0"/>
        <v>14.186052600599298</v>
      </c>
      <c r="V44" s="157">
        <v>3</v>
      </c>
      <c r="W44" s="325">
        <f>'App 3 - Recycling Rate'!S44</f>
        <v>0.55869232014495263</v>
      </c>
      <c r="Y44"/>
      <c r="Z44"/>
    </row>
    <row r="45" spans="1:26" x14ac:dyDescent="0.2">
      <c r="A45" s="8">
        <v>12850</v>
      </c>
      <c r="B45" s="8" t="s">
        <v>111</v>
      </c>
      <c r="C45" s="8" t="s">
        <v>19</v>
      </c>
      <c r="D45" s="29" t="s">
        <v>3</v>
      </c>
      <c r="E45" s="313"/>
      <c r="F45" s="314" t="s">
        <v>677</v>
      </c>
      <c r="G45" s="315" t="s">
        <v>678</v>
      </c>
      <c r="H45" s="316">
        <f>'App 7 - HH &amp; Capita'!G45</f>
        <v>22.432528172634122</v>
      </c>
      <c r="I45" s="313"/>
      <c r="J45" s="317" t="s">
        <v>677</v>
      </c>
      <c r="K45" s="318" t="s">
        <v>676</v>
      </c>
      <c r="L45" s="319">
        <f>'App 7 - HH &amp; Capita'!L45</f>
        <v>3.3287530081060543</v>
      </c>
      <c r="M45" s="313"/>
      <c r="N45" s="320"/>
      <c r="O45" s="320"/>
      <c r="P45" s="321"/>
      <c r="Q45" s="322"/>
      <c r="R45" s="322"/>
      <c r="S45" s="323"/>
      <c r="T45" s="313"/>
      <c r="U45" s="324">
        <f t="shared" si="0"/>
        <v>25.761281180740177</v>
      </c>
      <c r="V45" s="157">
        <v>2</v>
      </c>
      <c r="W45" s="325">
        <f>'App 3 - Recycling Rate'!S45</f>
        <v>0.13444387211594591</v>
      </c>
      <c r="Y45"/>
      <c r="Z45"/>
    </row>
    <row r="46" spans="1:26" x14ac:dyDescent="0.2">
      <c r="A46" s="8">
        <v>12870</v>
      </c>
      <c r="B46" s="8" t="s">
        <v>112</v>
      </c>
      <c r="C46" s="8" t="s">
        <v>73</v>
      </c>
      <c r="D46" s="29" t="s">
        <v>1</v>
      </c>
      <c r="E46" s="313"/>
      <c r="F46" s="314" t="s">
        <v>677</v>
      </c>
      <c r="G46" s="315" t="s">
        <v>676</v>
      </c>
      <c r="H46" s="316">
        <f>'App 7 - HH &amp; Capita'!G46</f>
        <v>6.4517821081066904</v>
      </c>
      <c r="I46" s="313"/>
      <c r="J46" s="317" t="s">
        <v>677</v>
      </c>
      <c r="K46" s="318" t="s">
        <v>676</v>
      </c>
      <c r="L46" s="319">
        <f>'App 7 - HH &amp; Capita'!L46</f>
        <v>3.66905155017428</v>
      </c>
      <c r="M46" s="313"/>
      <c r="N46" s="320"/>
      <c r="O46" s="320"/>
      <c r="P46" s="321"/>
      <c r="Q46" s="322" t="s">
        <v>677</v>
      </c>
      <c r="R46" s="322" t="s">
        <v>678</v>
      </c>
      <c r="S46" s="323">
        <f>'App 7 - HH &amp; Capita'!S46</f>
        <v>9.6189261935118289</v>
      </c>
      <c r="T46" s="313"/>
      <c r="U46" s="324">
        <f t="shared" si="0"/>
        <v>19.739759851792797</v>
      </c>
      <c r="V46" s="157">
        <v>4</v>
      </c>
      <c r="W46" s="325">
        <f>'App 3 - Recycling Rate'!S46</f>
        <v>0.74082351378643851</v>
      </c>
      <c r="Y46"/>
      <c r="Z46"/>
    </row>
    <row r="47" spans="1:26" x14ac:dyDescent="0.2">
      <c r="A47" s="8">
        <v>12900</v>
      </c>
      <c r="B47" s="8" t="s">
        <v>113</v>
      </c>
      <c r="C47" s="8" t="s">
        <v>42</v>
      </c>
      <c r="D47" s="29" t="s">
        <v>1</v>
      </c>
      <c r="E47" s="313"/>
      <c r="F47" s="314" t="s">
        <v>677</v>
      </c>
      <c r="G47" s="315" t="s">
        <v>676</v>
      </c>
      <c r="H47" s="316">
        <f>'App 7 - HH &amp; Capita'!G47</f>
        <v>7.7537910940833692</v>
      </c>
      <c r="I47" s="313"/>
      <c r="J47" s="317" t="s">
        <v>677</v>
      </c>
      <c r="K47" s="318" t="s">
        <v>676</v>
      </c>
      <c r="L47" s="319">
        <f>'App 7 - HH &amp; Capita'!L47</f>
        <v>2.6639993380927618</v>
      </c>
      <c r="M47" s="313"/>
      <c r="N47" s="320"/>
      <c r="O47" s="320"/>
      <c r="P47" s="321"/>
      <c r="Q47" s="322" t="s">
        <v>677</v>
      </c>
      <c r="R47" s="322" t="s">
        <v>678</v>
      </c>
      <c r="S47" s="323">
        <f>'App 7 - HH &amp; Capita'!S47</f>
        <v>6.8782537644449633</v>
      </c>
      <c r="T47" s="313"/>
      <c r="U47" s="324">
        <f t="shared" si="0"/>
        <v>17.296044196621096</v>
      </c>
      <c r="V47" s="157">
        <v>4</v>
      </c>
      <c r="W47" s="325">
        <f>'App 3 - Recycling Rate'!S47</f>
        <v>0.62510921047731616</v>
      </c>
      <c r="Y47"/>
      <c r="Z47"/>
    </row>
    <row r="48" spans="1:26" x14ac:dyDescent="0.2">
      <c r="A48" s="8">
        <v>12930</v>
      </c>
      <c r="B48" s="8" t="s">
        <v>55</v>
      </c>
      <c r="C48" s="8" t="s">
        <v>18</v>
      </c>
      <c r="D48" s="29" t="s">
        <v>3</v>
      </c>
      <c r="E48" s="313"/>
      <c r="F48" s="314" t="s">
        <v>680</v>
      </c>
      <c r="G48" s="315" t="s">
        <v>678</v>
      </c>
      <c r="H48" s="316">
        <f>'App 7 - HH &amp; Capita'!G48</f>
        <v>10.979584491411888</v>
      </c>
      <c r="I48" s="313"/>
      <c r="J48" s="317" t="s">
        <v>677</v>
      </c>
      <c r="K48" s="318" t="s">
        <v>676</v>
      </c>
      <c r="L48" s="319">
        <f>'App 7 - HH &amp; Capita'!L48</f>
        <v>3.090306243510859</v>
      </c>
      <c r="M48" s="313"/>
      <c r="N48" s="320" t="s">
        <v>677</v>
      </c>
      <c r="O48" s="320" t="s">
        <v>676</v>
      </c>
      <c r="P48" s="321">
        <f>'App 7 - HH &amp; Capita'!P48</f>
        <v>4.3183832890097511</v>
      </c>
      <c r="Q48" s="322"/>
      <c r="R48" s="322"/>
      <c r="S48" s="323"/>
      <c r="T48" s="313"/>
      <c r="U48" s="324">
        <f t="shared" si="0"/>
        <v>18.3882740239325</v>
      </c>
      <c r="V48" s="157">
        <v>3</v>
      </c>
      <c r="W48" s="325">
        <f>'App 3 - Recycling Rate'!S48</f>
        <v>0.3958810725459041</v>
      </c>
      <c r="Y48"/>
      <c r="Z48"/>
    </row>
    <row r="49" spans="1:26" x14ac:dyDescent="0.2">
      <c r="A49" s="8">
        <v>12950</v>
      </c>
      <c r="B49" s="8" t="s">
        <v>114</v>
      </c>
      <c r="C49" s="8" t="s">
        <v>42</v>
      </c>
      <c r="D49" s="29" t="s">
        <v>1</v>
      </c>
      <c r="E49" s="313"/>
      <c r="F49" s="314" t="s">
        <v>677</v>
      </c>
      <c r="G49" s="315" t="s">
        <v>678</v>
      </c>
      <c r="H49" s="316">
        <f>'App 7 - HH &amp; Capita'!G49</f>
        <v>16.683205584451137</v>
      </c>
      <c r="I49" s="313"/>
      <c r="J49" s="317" t="s">
        <v>677</v>
      </c>
      <c r="K49" s="318" t="s">
        <v>676</v>
      </c>
      <c r="L49" s="319">
        <f>'App 7 - HH &amp; Capita'!L49</f>
        <v>1.9472834857450241</v>
      </c>
      <c r="M49" s="313"/>
      <c r="N49" s="320"/>
      <c r="O49" s="320"/>
      <c r="P49" s="321"/>
      <c r="Q49" s="322"/>
      <c r="R49" s="322"/>
      <c r="S49" s="323"/>
      <c r="T49" s="313"/>
      <c r="U49" s="324">
        <f t="shared" si="0"/>
        <v>18.630489070196163</v>
      </c>
      <c r="V49" s="157">
        <v>2</v>
      </c>
      <c r="W49" s="325">
        <f>'App 3 - Recycling Rate'!S49</f>
        <v>0.14827867432752923</v>
      </c>
      <c r="Y49"/>
      <c r="Z49"/>
    </row>
    <row r="50" spans="1:26" x14ac:dyDescent="0.2">
      <c r="A50" s="8">
        <v>13010</v>
      </c>
      <c r="B50" s="8" t="s">
        <v>115</v>
      </c>
      <c r="C50" s="8" t="s">
        <v>17</v>
      </c>
      <c r="D50" s="29" t="s">
        <v>1</v>
      </c>
      <c r="E50" s="313"/>
      <c r="F50" s="314" t="s">
        <v>675</v>
      </c>
      <c r="G50" s="315" t="s">
        <v>678</v>
      </c>
      <c r="H50" s="316">
        <f>'App 7 - HH &amp; Capita'!G50</f>
        <v>8.5122396151807909</v>
      </c>
      <c r="I50" s="313"/>
      <c r="J50" s="317" t="s">
        <v>677</v>
      </c>
      <c r="K50" s="318" t="s">
        <v>676</v>
      </c>
      <c r="L50" s="319">
        <f>'App 7 - HH &amp; Capita'!L50</f>
        <v>3.1793865905848788</v>
      </c>
      <c r="M50" s="313"/>
      <c r="N50" s="320"/>
      <c r="O50" s="320"/>
      <c r="P50" s="321"/>
      <c r="Q50" s="322"/>
      <c r="R50" s="322"/>
      <c r="S50" s="323"/>
      <c r="T50" s="313"/>
      <c r="U50" s="324">
        <f t="shared" si="0"/>
        <v>11.691626205765669</v>
      </c>
      <c r="V50" s="157">
        <v>2</v>
      </c>
      <c r="W50" s="325">
        <f>'App 3 - Recycling Rate'!S50</f>
        <v>0.39063666411140008</v>
      </c>
      <c r="Y50"/>
      <c r="Z50"/>
    </row>
    <row r="51" spans="1:26" x14ac:dyDescent="0.2">
      <c r="A51" s="8">
        <v>13310</v>
      </c>
      <c r="B51" s="8" t="s">
        <v>116</v>
      </c>
      <c r="C51" s="8" t="s">
        <v>74</v>
      </c>
      <c r="D51" s="29" t="s">
        <v>1</v>
      </c>
      <c r="E51" s="313"/>
      <c r="F51" s="314" t="s">
        <v>675</v>
      </c>
      <c r="G51" s="315" t="s">
        <v>678</v>
      </c>
      <c r="H51" s="316">
        <f>'App 7 - HH &amp; Capita'!G51</f>
        <v>8.9349112426035511</v>
      </c>
      <c r="I51" s="313"/>
      <c r="J51" s="317" t="s">
        <v>677</v>
      </c>
      <c r="K51" s="318" t="s">
        <v>676</v>
      </c>
      <c r="L51" s="319">
        <f>'App 7 - HH &amp; Capita'!L51</f>
        <v>2.7319167838898348</v>
      </c>
      <c r="M51" s="313"/>
      <c r="N51" s="320"/>
      <c r="O51" s="320"/>
      <c r="P51" s="321"/>
      <c r="Q51" s="322" t="s">
        <v>677</v>
      </c>
      <c r="R51" s="322" t="s">
        <v>676</v>
      </c>
      <c r="S51" s="323">
        <f>'App 7 - HH &amp; Capita'!S51</f>
        <v>4.810468645887318</v>
      </c>
      <c r="T51" s="313"/>
      <c r="U51" s="324">
        <f t="shared" si="0"/>
        <v>16.477296672380703</v>
      </c>
      <c r="V51" s="157">
        <v>4</v>
      </c>
      <c r="W51" s="325">
        <f>'App 3 - Recycling Rate'!S51</f>
        <v>0.26762623154941872</v>
      </c>
      <c r="Y51"/>
      <c r="Z51"/>
    </row>
    <row r="52" spans="1:26" x14ac:dyDescent="0.2">
      <c r="A52" s="8">
        <v>13340</v>
      </c>
      <c r="B52" s="8" t="s">
        <v>117</v>
      </c>
      <c r="C52" s="8" t="s">
        <v>22</v>
      </c>
      <c r="D52" s="29" t="s">
        <v>1</v>
      </c>
      <c r="E52" s="313"/>
      <c r="F52" s="314" t="s">
        <v>677</v>
      </c>
      <c r="G52" s="315" t="s">
        <v>678</v>
      </c>
      <c r="H52" s="316">
        <f>'App 7 - HH &amp; Capita'!G52</f>
        <v>12.225060875813341</v>
      </c>
      <c r="I52" s="313"/>
      <c r="J52" s="317" t="s">
        <v>677</v>
      </c>
      <c r="K52" s="318" t="s">
        <v>676</v>
      </c>
      <c r="L52" s="319">
        <f>'App 7 - HH &amp; Capita'!L52</f>
        <v>2.9744691398826739</v>
      </c>
      <c r="M52" s="313"/>
      <c r="N52" s="320"/>
      <c r="O52" s="320"/>
      <c r="P52" s="321"/>
      <c r="Q52" s="322"/>
      <c r="R52" s="322"/>
      <c r="S52" s="323"/>
      <c r="T52" s="313"/>
      <c r="U52" s="324">
        <f t="shared" si="0"/>
        <v>15.199530015696014</v>
      </c>
      <c r="V52" s="157">
        <v>2</v>
      </c>
      <c r="W52" s="325">
        <f>'App 3 - Recycling Rate'!S52</f>
        <v>0.36070287178986693</v>
      </c>
      <c r="Y52"/>
      <c r="Z52"/>
    </row>
    <row r="53" spans="1:26" x14ac:dyDescent="0.2">
      <c r="A53" s="8">
        <v>13450</v>
      </c>
      <c r="B53" s="8" t="s">
        <v>118</v>
      </c>
      <c r="C53" s="8" t="s">
        <v>75</v>
      </c>
      <c r="D53" s="29" t="s">
        <v>1</v>
      </c>
      <c r="E53" s="313"/>
      <c r="F53" s="314" t="s">
        <v>677</v>
      </c>
      <c r="G53" s="315" t="s">
        <v>678</v>
      </c>
      <c r="H53" s="316">
        <f>'App 7 - HH &amp; Capita'!G53</f>
        <v>21.562449651814326</v>
      </c>
      <c r="I53" s="313"/>
      <c r="J53" s="317" t="s">
        <v>677</v>
      </c>
      <c r="K53" s="318" t="s">
        <v>676</v>
      </c>
      <c r="L53" s="319">
        <f>'App 7 - HH &amp; Capita'!L53</f>
        <v>2.6319268064695831</v>
      </c>
      <c r="M53" s="313"/>
      <c r="N53" s="320"/>
      <c r="O53" s="320"/>
      <c r="P53" s="321"/>
      <c r="Q53" s="322"/>
      <c r="R53" s="322"/>
      <c r="S53" s="323"/>
      <c r="T53" s="313"/>
      <c r="U53" s="324">
        <f t="shared" si="0"/>
        <v>24.194376458283909</v>
      </c>
      <c r="V53" s="157">
        <v>2</v>
      </c>
      <c r="W53" s="325">
        <f>'App 3 - Recycling Rate'!S53</f>
        <v>0.19275042709445211</v>
      </c>
      <c r="Y53"/>
      <c r="Z53"/>
    </row>
    <row r="54" spans="1:26" x14ac:dyDescent="0.2">
      <c r="A54" s="8">
        <v>13550</v>
      </c>
      <c r="B54" s="8" t="s">
        <v>77</v>
      </c>
      <c r="C54" s="8" t="s">
        <v>17</v>
      </c>
      <c r="D54" s="29" t="s">
        <v>1</v>
      </c>
      <c r="E54" s="313"/>
      <c r="F54" s="314" t="s">
        <v>675</v>
      </c>
      <c r="G54" s="315" t="s">
        <v>678</v>
      </c>
      <c r="H54" s="316">
        <f>'App 7 - HH &amp; Capita'!G54</f>
        <v>11.317566988393821</v>
      </c>
      <c r="I54" s="313"/>
      <c r="J54" s="317" t="s">
        <v>680</v>
      </c>
      <c r="K54" s="318" t="s">
        <v>678</v>
      </c>
      <c r="L54" s="319">
        <f>'App 7 - HH &amp; Capita'!L54</f>
        <v>2.9917742715094602</v>
      </c>
      <c r="M54" s="313"/>
      <c r="N54" s="320" t="s">
        <v>677</v>
      </c>
      <c r="O54" s="320" t="s">
        <v>676</v>
      </c>
      <c r="P54" s="321">
        <f>'App 7 - HH &amp; Capita'!P54</f>
        <v>4.9667561974373644</v>
      </c>
      <c r="Q54" s="322"/>
      <c r="R54" s="322"/>
      <c r="S54" s="323"/>
      <c r="T54" s="313"/>
      <c r="U54" s="324">
        <f t="shared" si="0"/>
        <v>19.276097457340647</v>
      </c>
      <c r="V54" s="157">
        <v>3</v>
      </c>
      <c r="W54" s="325">
        <f>'App 3 - Recycling Rate'!S54</f>
        <v>0.50599677482504113</v>
      </c>
      <c r="Y54"/>
      <c r="Z54"/>
    </row>
    <row r="55" spans="1:26" x14ac:dyDescent="0.2">
      <c r="A55" s="8">
        <v>13660</v>
      </c>
      <c r="B55" s="8" t="s">
        <v>119</v>
      </c>
      <c r="C55" s="8" t="s">
        <v>17</v>
      </c>
      <c r="D55" s="29" t="s">
        <v>1</v>
      </c>
      <c r="E55" s="313"/>
      <c r="F55" s="314" t="s">
        <v>675</v>
      </c>
      <c r="G55" s="315" t="s">
        <v>678</v>
      </c>
      <c r="H55" s="316">
        <f>'App 7 - HH &amp; Capita'!G55</f>
        <v>6.6415942928039708</v>
      </c>
      <c r="I55" s="313"/>
      <c r="J55" s="317" t="s">
        <v>681</v>
      </c>
      <c r="K55" s="318" t="s">
        <v>676</v>
      </c>
      <c r="L55" s="319">
        <f>'App 7 - HH &amp; Capita'!L55</f>
        <v>2.2790285595163642</v>
      </c>
      <c r="M55" s="313"/>
      <c r="N55" s="320"/>
      <c r="O55" s="320"/>
      <c r="P55" s="321"/>
      <c r="Q55" s="322" t="s">
        <v>677</v>
      </c>
      <c r="R55" s="322" t="s">
        <v>676</v>
      </c>
      <c r="S55" s="323">
        <f>'App 7 - HH &amp; Capita'!S55</f>
        <v>2.7263875365141184</v>
      </c>
      <c r="T55" s="313"/>
      <c r="U55" s="324">
        <f t="shared" si="0"/>
        <v>11.647010388834452</v>
      </c>
      <c r="V55" s="157">
        <v>4</v>
      </c>
      <c r="W55" s="325">
        <f>'App 3 - Recycling Rate'!S55</f>
        <v>0.33701249307663717</v>
      </c>
      <c r="Y55"/>
      <c r="Z55"/>
    </row>
    <row r="56" spans="1:26" x14ac:dyDescent="0.2">
      <c r="A56" s="8">
        <v>13800</v>
      </c>
      <c r="B56" s="8" t="s">
        <v>120</v>
      </c>
      <c r="C56" s="8" t="s">
        <v>19</v>
      </c>
      <c r="D56" s="29" t="s">
        <v>2</v>
      </c>
      <c r="E56" s="313"/>
      <c r="F56" s="314" t="s">
        <v>677</v>
      </c>
      <c r="G56" s="315" t="s">
        <v>678</v>
      </c>
      <c r="H56" s="316">
        <f>'App 7 - HH &amp; Capita'!G56</f>
        <v>16.129266685615359</v>
      </c>
      <c r="I56" s="313"/>
      <c r="J56" s="317" t="s">
        <v>677</v>
      </c>
      <c r="K56" s="318" t="s">
        <v>676</v>
      </c>
      <c r="L56" s="319">
        <f>'App 7 - HH &amp; Capita'!L56</f>
        <v>4.1598242277509847</v>
      </c>
      <c r="M56" s="313"/>
      <c r="N56" s="320" t="s">
        <v>677</v>
      </c>
      <c r="O56" s="320" t="s">
        <v>676</v>
      </c>
      <c r="P56" s="321">
        <f>'App 7 - HH &amp; Capita'!P56</f>
        <v>7.3969785130148331</v>
      </c>
      <c r="Q56" s="322"/>
      <c r="R56" s="322"/>
      <c r="S56" s="323"/>
      <c r="T56" s="313"/>
      <c r="U56" s="324">
        <f t="shared" si="0"/>
        <v>27.686069426381177</v>
      </c>
      <c r="V56" s="157">
        <v>3</v>
      </c>
      <c r="W56" s="325">
        <f>'App 3 - Recycling Rate'!S56</f>
        <v>0.41390365331090379</v>
      </c>
      <c r="Y56"/>
      <c r="Z56"/>
    </row>
    <row r="57" spans="1:26" x14ac:dyDescent="0.2">
      <c r="A57" s="8">
        <v>13850</v>
      </c>
      <c r="B57" s="8" t="s">
        <v>121</v>
      </c>
      <c r="C57" s="8" t="s">
        <v>75</v>
      </c>
      <c r="D57" s="29" t="s">
        <v>1</v>
      </c>
      <c r="E57" s="313"/>
      <c r="F57" s="314" t="s">
        <v>677</v>
      </c>
      <c r="G57" s="315" t="s">
        <v>678</v>
      </c>
      <c r="H57" s="316">
        <f>'App 7 - HH &amp; Capita'!G57</f>
        <v>17.861691288843609</v>
      </c>
      <c r="I57" s="313"/>
      <c r="J57" s="317"/>
      <c r="K57" s="318"/>
      <c r="L57" s="319"/>
      <c r="M57" s="313"/>
      <c r="N57" s="320"/>
      <c r="O57" s="320"/>
      <c r="P57" s="321"/>
      <c r="Q57" s="322"/>
      <c r="R57" s="322"/>
      <c r="S57" s="323"/>
      <c r="T57" s="313"/>
      <c r="U57" s="324">
        <f t="shared" si="0"/>
        <v>17.861691288843609</v>
      </c>
      <c r="V57" s="157">
        <v>1</v>
      </c>
      <c r="W57" s="325">
        <f>'App 3 - Recycling Rate'!S57</f>
        <v>0.62288723665952817</v>
      </c>
      <c r="Y57"/>
      <c r="Z57"/>
    </row>
    <row r="58" spans="1:26" x14ac:dyDescent="0.2">
      <c r="A58" s="8">
        <v>13910</v>
      </c>
      <c r="B58" s="8" t="s">
        <v>122</v>
      </c>
      <c r="C58" s="8" t="s">
        <v>74</v>
      </c>
      <c r="D58" s="29" t="s">
        <v>1</v>
      </c>
      <c r="E58" s="313"/>
      <c r="F58" s="314" t="s">
        <v>675</v>
      </c>
      <c r="G58" s="315" t="s">
        <v>678</v>
      </c>
      <c r="H58" s="316">
        <f>'App 7 - HH &amp; Capita'!G58</f>
        <v>13.182659790974888</v>
      </c>
      <c r="I58" s="313"/>
      <c r="J58" s="317" t="s">
        <v>677</v>
      </c>
      <c r="K58" s="318" t="s">
        <v>678</v>
      </c>
      <c r="L58" s="319">
        <f>'App 7 - HH &amp; Capita'!L58</f>
        <v>5.9767586983653462</v>
      </c>
      <c r="M58" s="313"/>
      <c r="N58" s="320" t="s">
        <v>677</v>
      </c>
      <c r="O58" s="320" t="s">
        <v>678</v>
      </c>
      <c r="P58" s="321">
        <f>'App 7 - HH &amp; Capita'!P58</f>
        <v>18.594566628082358</v>
      </c>
      <c r="Q58" s="322"/>
      <c r="R58" s="322"/>
      <c r="S58" s="323"/>
      <c r="T58" s="313"/>
      <c r="U58" s="324">
        <f t="shared" si="0"/>
        <v>37.753985117422587</v>
      </c>
      <c r="V58" s="157">
        <v>3</v>
      </c>
      <c r="W58" s="325">
        <f>'App 3 - Recycling Rate'!S58</f>
        <v>0.52915977158125249</v>
      </c>
      <c r="Y58"/>
      <c r="Z58"/>
    </row>
    <row r="59" spans="1:26" x14ac:dyDescent="0.2">
      <c r="A59" s="8">
        <v>14000</v>
      </c>
      <c r="B59" s="8" t="s">
        <v>123</v>
      </c>
      <c r="C59" s="8" t="s">
        <v>26</v>
      </c>
      <c r="D59" s="29" t="s">
        <v>3</v>
      </c>
      <c r="E59" s="313"/>
      <c r="F59" s="314" t="s">
        <v>675</v>
      </c>
      <c r="G59" s="315" t="s">
        <v>678</v>
      </c>
      <c r="H59" s="316">
        <f>'App 7 - HH &amp; Capita'!G59</f>
        <v>11.923238132085869</v>
      </c>
      <c r="I59" s="313"/>
      <c r="J59" s="317" t="s">
        <v>677</v>
      </c>
      <c r="K59" s="318" t="s">
        <v>676</v>
      </c>
      <c r="L59" s="319">
        <f>'App 7 - HH &amp; Capita'!L59</f>
        <v>3.985159977958332</v>
      </c>
      <c r="M59" s="313"/>
      <c r="N59" s="320" t="s">
        <v>677</v>
      </c>
      <c r="O59" s="320" t="s">
        <v>676</v>
      </c>
      <c r="P59" s="321">
        <f>'App 7 - HH &amp; Capita'!P59</f>
        <v>6.8319645222937408</v>
      </c>
      <c r="Q59" s="322"/>
      <c r="R59" s="322"/>
      <c r="S59" s="323"/>
      <c r="T59" s="313"/>
      <c r="U59" s="324">
        <f t="shared" si="0"/>
        <v>22.740362632337941</v>
      </c>
      <c r="V59" s="157">
        <v>3</v>
      </c>
      <c r="W59" s="325">
        <f>'App 3 - Recycling Rate'!S59</f>
        <v>0.45057524737375992</v>
      </c>
      <c r="Y59"/>
      <c r="Z59"/>
    </row>
    <row r="60" spans="1:26" x14ac:dyDescent="0.2">
      <c r="A60" s="8">
        <v>14100</v>
      </c>
      <c r="B60" s="8" t="s">
        <v>56</v>
      </c>
      <c r="C60" s="8" t="s">
        <v>26</v>
      </c>
      <c r="D60" s="29" t="s">
        <v>3</v>
      </c>
      <c r="E60" s="313"/>
      <c r="F60" s="314" t="s">
        <v>680</v>
      </c>
      <c r="G60" s="315" t="s">
        <v>678</v>
      </c>
      <c r="H60" s="316">
        <f>'App 7 - HH &amp; Capita'!G60</f>
        <v>12.06705393672507</v>
      </c>
      <c r="I60" s="313"/>
      <c r="J60" s="317" t="s">
        <v>680</v>
      </c>
      <c r="K60" s="318" t="s">
        <v>676</v>
      </c>
      <c r="L60" s="319">
        <f>'App 7 - HH &amp; Capita'!L60</f>
        <v>4.470240741917042</v>
      </c>
      <c r="M60" s="313"/>
      <c r="N60" s="320" t="s">
        <v>677</v>
      </c>
      <c r="O60" s="320" t="s">
        <v>676</v>
      </c>
      <c r="P60" s="321">
        <f>'App 7 - HH &amp; Capita'!P60</f>
        <v>6.2203937124030881</v>
      </c>
      <c r="Q60" s="322"/>
      <c r="R60" s="322"/>
      <c r="S60" s="323"/>
      <c r="T60" s="313"/>
      <c r="U60" s="324">
        <f t="shared" si="0"/>
        <v>22.7576883910452</v>
      </c>
      <c r="V60" s="157">
        <v>3</v>
      </c>
      <c r="W60" s="325">
        <f>'App 3 - Recycling Rate'!S60</f>
        <v>0.53089250576718794</v>
      </c>
      <c r="Y60"/>
      <c r="Z60"/>
    </row>
    <row r="61" spans="1:26" x14ac:dyDescent="0.2">
      <c r="A61" s="8">
        <v>14170</v>
      </c>
      <c r="B61" s="8" t="s">
        <v>57</v>
      </c>
      <c r="C61" s="8" t="s">
        <v>18</v>
      </c>
      <c r="D61" s="29" t="s">
        <v>3</v>
      </c>
      <c r="E61" s="313"/>
      <c r="F61" s="314" t="s">
        <v>680</v>
      </c>
      <c r="G61" s="315" t="s">
        <v>678</v>
      </c>
      <c r="H61" s="316">
        <f>'App 7 - HH &amp; Capita'!G61</f>
        <v>10.325700882263193</v>
      </c>
      <c r="I61" s="313"/>
      <c r="J61" s="317" t="s">
        <v>677</v>
      </c>
      <c r="K61" s="318" t="s">
        <v>676</v>
      </c>
      <c r="L61" s="319">
        <f>'App 7 - HH &amp; Capita'!L61</f>
        <v>3.2082168087424328</v>
      </c>
      <c r="M61" s="313"/>
      <c r="N61" s="320" t="s">
        <v>677</v>
      </c>
      <c r="O61" s="320" t="s">
        <v>676</v>
      </c>
      <c r="P61" s="321">
        <f>'App 7 - HH &amp; Capita'!P61</f>
        <v>4.128772150711904</v>
      </c>
      <c r="Q61" s="322"/>
      <c r="R61" s="322"/>
      <c r="S61" s="323"/>
      <c r="T61" s="313"/>
      <c r="U61" s="324">
        <f t="shared" si="0"/>
        <v>17.66268984171753</v>
      </c>
      <c r="V61" s="157">
        <v>3</v>
      </c>
      <c r="W61" s="325">
        <f>'App 3 - Recycling Rate'!S61</f>
        <v>0.4709487562794567</v>
      </c>
      <c r="Y61"/>
      <c r="Z61"/>
    </row>
    <row r="62" spans="1:26" x14ac:dyDescent="0.2">
      <c r="A62" s="8">
        <v>14200</v>
      </c>
      <c r="B62" s="8" t="s">
        <v>124</v>
      </c>
      <c r="C62" s="8" t="s">
        <v>17</v>
      </c>
      <c r="D62" s="29" t="s">
        <v>1</v>
      </c>
      <c r="E62" s="313"/>
      <c r="F62" s="314" t="s">
        <v>677</v>
      </c>
      <c r="G62" s="315" t="s">
        <v>678</v>
      </c>
      <c r="H62" s="316">
        <f>'App 7 - HH &amp; Capita'!G62</f>
        <v>13.608843721282231</v>
      </c>
      <c r="I62" s="313"/>
      <c r="J62" s="317" t="s">
        <v>677</v>
      </c>
      <c r="K62" s="318" t="s">
        <v>676</v>
      </c>
      <c r="L62" s="319">
        <f>'App 7 - HH &amp; Capita'!L62</f>
        <v>2.3355586788475056</v>
      </c>
      <c r="M62" s="313"/>
      <c r="N62" s="320"/>
      <c r="O62" s="320"/>
      <c r="P62" s="321"/>
      <c r="Q62" s="322"/>
      <c r="R62" s="322"/>
      <c r="S62" s="323"/>
      <c r="T62" s="313"/>
      <c r="U62" s="324">
        <f t="shared" si="0"/>
        <v>15.944402400129736</v>
      </c>
      <c r="V62" s="157">
        <v>2</v>
      </c>
      <c r="W62" s="325">
        <f>'App 3 - Recycling Rate'!S62</f>
        <v>0.31325700034423809</v>
      </c>
      <c r="Y62"/>
      <c r="Z62"/>
    </row>
    <row r="63" spans="1:26" x14ac:dyDescent="0.2">
      <c r="A63" s="8">
        <v>14300</v>
      </c>
      <c r="B63" s="8" t="s">
        <v>125</v>
      </c>
      <c r="C63" s="8" t="s">
        <v>22</v>
      </c>
      <c r="D63" s="29" t="s">
        <v>1</v>
      </c>
      <c r="E63" s="313"/>
      <c r="F63" s="314" t="s">
        <v>677</v>
      </c>
      <c r="G63" s="315" t="s">
        <v>678</v>
      </c>
      <c r="H63" s="316">
        <f>'App 7 - HH &amp; Capita'!G63</f>
        <v>8.6063325365413998</v>
      </c>
      <c r="I63" s="313"/>
      <c r="J63" s="317" t="s">
        <v>677</v>
      </c>
      <c r="K63" s="318" t="s">
        <v>676</v>
      </c>
      <c r="L63" s="319">
        <f>'App 7 - HH &amp; Capita'!L63</f>
        <v>3.4471547919293823</v>
      </c>
      <c r="M63" s="313"/>
      <c r="N63" s="320"/>
      <c r="O63" s="320"/>
      <c r="P63" s="321"/>
      <c r="Q63" s="322" t="s">
        <v>677</v>
      </c>
      <c r="R63" s="322" t="s">
        <v>676</v>
      </c>
      <c r="S63" s="323">
        <f>'App 7 - HH &amp; Capita'!S63</f>
        <v>8.5917020699629383</v>
      </c>
      <c r="T63" s="313"/>
      <c r="U63" s="324">
        <f t="shared" si="0"/>
        <v>20.645189398433722</v>
      </c>
      <c r="V63" s="157">
        <v>4</v>
      </c>
      <c r="W63" s="325">
        <f>'App 3 - Recycling Rate'!S63</f>
        <v>0.4896574308342076</v>
      </c>
      <c r="Y63"/>
      <c r="Z63"/>
    </row>
    <row r="64" spans="1:26" x14ac:dyDescent="0.2">
      <c r="A64" s="8">
        <v>14350</v>
      </c>
      <c r="B64" s="8" t="s">
        <v>126</v>
      </c>
      <c r="C64" s="8" t="s">
        <v>43</v>
      </c>
      <c r="D64" s="29" t="s">
        <v>4</v>
      </c>
      <c r="E64" s="313"/>
      <c r="F64" s="314" t="s">
        <v>675</v>
      </c>
      <c r="G64" s="315" t="s">
        <v>678</v>
      </c>
      <c r="H64" s="316">
        <f>'App 7 - HH &amp; Capita'!G64</f>
        <v>8.3743794974410282</v>
      </c>
      <c r="I64" s="313"/>
      <c r="J64" s="317" t="s">
        <v>677</v>
      </c>
      <c r="K64" s="318" t="s">
        <v>676</v>
      </c>
      <c r="L64" s="319">
        <f>'App 7 - HH &amp; Capita'!L64</f>
        <v>3.4149540342237783</v>
      </c>
      <c r="M64" s="313"/>
      <c r="N64" s="320"/>
      <c r="O64" s="320"/>
      <c r="P64" s="321"/>
      <c r="Q64" s="322" t="s">
        <v>677</v>
      </c>
      <c r="R64" s="322" t="s">
        <v>678</v>
      </c>
      <c r="S64" s="323">
        <f>'App 7 - HH &amp; Capita'!S64</f>
        <v>6.8934834336445983</v>
      </c>
      <c r="T64" s="313"/>
      <c r="U64" s="324">
        <f t="shared" si="0"/>
        <v>18.682816965309403</v>
      </c>
      <c r="V64" s="157">
        <v>4</v>
      </c>
      <c r="W64" s="325">
        <f>'App 3 - Recycling Rate'!S64</f>
        <v>0.43215064269662368</v>
      </c>
      <c r="Y64"/>
      <c r="Z64"/>
    </row>
    <row r="65" spans="1:26" x14ac:dyDescent="0.2">
      <c r="A65" s="8">
        <v>14400</v>
      </c>
      <c r="B65" s="8" t="s">
        <v>127</v>
      </c>
      <c r="C65" s="8" t="s">
        <v>41</v>
      </c>
      <c r="D65" s="29" t="s">
        <v>2</v>
      </c>
      <c r="E65" s="313"/>
      <c r="F65" s="314" t="s">
        <v>675</v>
      </c>
      <c r="G65" s="315" t="s">
        <v>676</v>
      </c>
      <c r="H65" s="316">
        <f>'App 7 - HH &amp; Capita'!G65</f>
        <v>5.7253272395158294</v>
      </c>
      <c r="I65" s="313"/>
      <c r="J65" s="317" t="s">
        <v>677</v>
      </c>
      <c r="K65" s="318" t="s">
        <v>678</v>
      </c>
      <c r="L65" s="319">
        <f>'App 7 - HH &amp; Capita'!L65</f>
        <v>5.2608373397435892</v>
      </c>
      <c r="M65" s="313"/>
      <c r="N65" s="320"/>
      <c r="O65" s="320"/>
      <c r="P65" s="321"/>
      <c r="Q65" s="322" t="s">
        <v>677</v>
      </c>
      <c r="R65" s="322" t="s">
        <v>678</v>
      </c>
      <c r="S65" s="323">
        <f>'App 7 - HH &amp; Capita'!S65</f>
        <v>9.7730961098764055</v>
      </c>
      <c r="T65" s="313"/>
      <c r="U65" s="324">
        <f t="shared" si="0"/>
        <v>20.759260689135825</v>
      </c>
      <c r="V65" s="157">
        <v>4</v>
      </c>
      <c r="W65" s="325">
        <f>'App 3 - Recycling Rate'!S65</f>
        <v>0.75456547848331879</v>
      </c>
      <c r="Y65"/>
      <c r="Z65"/>
    </row>
    <row r="66" spans="1:26" x14ac:dyDescent="0.2">
      <c r="A66" s="8">
        <v>14500</v>
      </c>
      <c r="B66" s="8" t="s">
        <v>58</v>
      </c>
      <c r="C66" s="8" t="s">
        <v>26</v>
      </c>
      <c r="D66" s="29" t="s">
        <v>3</v>
      </c>
      <c r="E66" s="313"/>
      <c r="F66" s="314" t="s">
        <v>680</v>
      </c>
      <c r="G66" s="315" t="s">
        <v>678</v>
      </c>
      <c r="H66" s="316">
        <f>'App 7 - HH &amp; Capita'!G66</f>
        <v>10.072336514730502</v>
      </c>
      <c r="I66" s="313"/>
      <c r="J66" s="317" t="s">
        <v>677</v>
      </c>
      <c r="K66" s="318" t="s">
        <v>676</v>
      </c>
      <c r="L66" s="319">
        <f>'App 7 - HH &amp; Capita'!L66</f>
        <v>6.3783464845590041</v>
      </c>
      <c r="M66" s="313"/>
      <c r="N66" s="320" t="s">
        <v>681</v>
      </c>
      <c r="O66" s="320" t="s">
        <v>676</v>
      </c>
      <c r="P66" s="321">
        <f>'App 7 - HH &amp; Capita'!P66</f>
        <v>12.866543631964614</v>
      </c>
      <c r="Q66" s="322"/>
      <c r="R66" s="322"/>
      <c r="S66" s="323"/>
      <c r="T66" s="313"/>
      <c r="U66" s="324">
        <f t="shared" si="0"/>
        <v>29.317226631254119</v>
      </c>
      <c r="V66" s="157">
        <v>3</v>
      </c>
      <c r="W66" s="325">
        <f>'App 3 - Recycling Rate'!S66</f>
        <v>0.60821531119269301</v>
      </c>
      <c r="Y66"/>
      <c r="Z66"/>
    </row>
    <row r="67" spans="1:26" x14ac:dyDescent="0.2">
      <c r="A67" s="8">
        <v>14550</v>
      </c>
      <c r="B67" s="8" t="s">
        <v>128</v>
      </c>
      <c r="C67" s="8" t="s">
        <v>20</v>
      </c>
      <c r="D67" s="29" t="s">
        <v>4</v>
      </c>
      <c r="E67" s="313"/>
      <c r="F67" s="314" t="s">
        <v>683</v>
      </c>
      <c r="G67" s="315" t="s">
        <v>678</v>
      </c>
      <c r="H67" s="316">
        <f>'App 7 - HH &amp; Capita'!G67</f>
        <v>9.9683717297930503</v>
      </c>
      <c r="I67" s="313"/>
      <c r="J67" s="317" t="s">
        <v>684</v>
      </c>
      <c r="K67" s="318" t="s">
        <v>678</v>
      </c>
      <c r="L67" s="319">
        <f>'App 7 - HH &amp; Capita'!L67</f>
        <v>3.5847325263568921</v>
      </c>
      <c r="M67" s="313"/>
      <c r="N67" s="320"/>
      <c r="O67" s="320"/>
      <c r="P67" s="321"/>
      <c r="Q67" s="322"/>
      <c r="R67" s="322"/>
      <c r="S67" s="323"/>
      <c r="T67" s="313"/>
      <c r="U67" s="324">
        <f t="shared" si="0"/>
        <v>13.553104256149943</v>
      </c>
      <c r="V67" s="157">
        <v>2</v>
      </c>
      <c r="W67" s="325">
        <f>'App 3 - Recycling Rate'!S67</f>
        <v>0.38102286839323896</v>
      </c>
      <c r="Y67"/>
      <c r="Z67"/>
    </row>
    <row r="68" spans="1:26" x14ac:dyDescent="0.2">
      <c r="A68" s="8">
        <v>14600</v>
      </c>
      <c r="B68" s="8" t="s">
        <v>129</v>
      </c>
      <c r="C68" s="8" t="s">
        <v>42</v>
      </c>
      <c r="D68" s="29" t="s">
        <v>1</v>
      </c>
      <c r="E68" s="313"/>
      <c r="F68" s="314" t="s">
        <v>677</v>
      </c>
      <c r="G68" s="315" t="s">
        <v>678</v>
      </c>
      <c r="H68" s="316">
        <f>'App 7 - HH &amp; Capita'!G68</f>
        <v>10.20237030411449</v>
      </c>
      <c r="I68" s="313"/>
      <c r="J68" s="317" t="s">
        <v>677</v>
      </c>
      <c r="K68" s="318" t="s">
        <v>676</v>
      </c>
      <c r="L68" s="319">
        <f>'App 7 - HH &amp; Capita'!L68</f>
        <v>1.7108559889308554</v>
      </c>
      <c r="M68" s="313"/>
      <c r="N68" s="320" t="s">
        <v>677</v>
      </c>
      <c r="O68" s="320" t="s">
        <v>676</v>
      </c>
      <c r="P68" s="321">
        <f>'App 7 - HH &amp; Capita'!P68</f>
        <v>1.7996311499791777</v>
      </c>
      <c r="Q68" s="322"/>
      <c r="R68" s="322"/>
      <c r="S68" s="323"/>
      <c r="T68" s="313"/>
      <c r="U68" s="324">
        <f t="shared" si="0"/>
        <v>13.712857443024523</v>
      </c>
      <c r="V68" s="157">
        <v>3</v>
      </c>
      <c r="W68" s="325">
        <f>'App 3 - Recycling Rate'!S68</f>
        <v>0.24010980462413986</v>
      </c>
      <c r="Y68"/>
      <c r="Z68"/>
    </row>
    <row r="69" spans="1:26" x14ac:dyDescent="0.2">
      <c r="A69" s="8">
        <v>14650</v>
      </c>
      <c r="B69" s="8" t="s">
        <v>130</v>
      </c>
      <c r="C69" s="8" t="s">
        <v>25</v>
      </c>
      <c r="D69" s="29" t="s">
        <v>2</v>
      </c>
      <c r="E69" s="313"/>
      <c r="F69" s="314" t="s">
        <v>677</v>
      </c>
      <c r="G69" s="315" t="s">
        <v>678</v>
      </c>
      <c r="H69" s="316">
        <f>'App 7 - HH &amp; Capita'!G69</f>
        <v>8.2763759234347472</v>
      </c>
      <c r="I69" s="313"/>
      <c r="J69" s="317" t="s">
        <v>677</v>
      </c>
      <c r="K69" s="318" t="s">
        <v>676</v>
      </c>
      <c r="L69" s="319">
        <f>'App 7 - HH &amp; Capita'!L69</f>
        <v>4.0543469100278111</v>
      </c>
      <c r="M69" s="313"/>
      <c r="N69" s="320"/>
      <c r="O69" s="320"/>
      <c r="P69" s="321"/>
      <c r="Q69" s="322" t="s">
        <v>677</v>
      </c>
      <c r="R69" s="322" t="s">
        <v>678</v>
      </c>
      <c r="S69" s="323">
        <f>'App 7 - HH &amp; Capita'!S69</f>
        <v>9.2712364281026431</v>
      </c>
      <c r="T69" s="313"/>
      <c r="U69" s="324">
        <f t="shared" ref="U69:U132" si="1">H69+L69+P69+S69</f>
        <v>21.601959261565202</v>
      </c>
      <c r="V69" s="157">
        <v>4</v>
      </c>
      <c r="W69" s="325">
        <f>'App 3 - Recycling Rate'!S69</f>
        <v>0.53799450392410564</v>
      </c>
      <c r="Y69"/>
      <c r="Z69"/>
    </row>
    <row r="70" spans="1:26" x14ac:dyDescent="0.2">
      <c r="A70" s="8">
        <v>14700</v>
      </c>
      <c r="B70" s="8" t="s">
        <v>59</v>
      </c>
      <c r="C70" s="8" t="s">
        <v>26</v>
      </c>
      <c r="D70" s="29" t="s">
        <v>3</v>
      </c>
      <c r="E70" s="313"/>
      <c r="F70" s="314" t="s">
        <v>682</v>
      </c>
      <c r="G70" s="315" t="s">
        <v>678</v>
      </c>
      <c r="H70" s="316">
        <f>'App 7 - HH &amp; Capita'!G70</f>
        <v>7.6416110913132753</v>
      </c>
      <c r="I70" s="313"/>
      <c r="J70" s="317" t="s">
        <v>680</v>
      </c>
      <c r="K70" s="318" t="s">
        <v>676</v>
      </c>
      <c r="L70" s="319">
        <f>'App 7 - HH &amp; Capita'!L70</f>
        <v>3.1990511161825017</v>
      </c>
      <c r="M70" s="313"/>
      <c r="N70" s="320" t="s">
        <v>677</v>
      </c>
      <c r="O70" s="320" t="s">
        <v>676</v>
      </c>
      <c r="P70" s="321">
        <f>'App 7 - HH &amp; Capita'!P70</f>
        <v>8.7917427567573334</v>
      </c>
      <c r="Q70" s="322"/>
      <c r="R70" s="322"/>
      <c r="S70" s="323"/>
      <c r="T70" s="313"/>
      <c r="U70" s="324">
        <f t="shared" si="1"/>
        <v>19.632404964253112</v>
      </c>
      <c r="V70" s="157">
        <v>3</v>
      </c>
      <c r="W70" s="325">
        <f>'App 3 - Recycling Rate'!S70</f>
        <v>0.51574661177443615</v>
      </c>
      <c r="Y70"/>
      <c r="Z70"/>
    </row>
    <row r="71" spans="1:26" x14ac:dyDescent="0.2">
      <c r="A71" s="8">
        <v>14750</v>
      </c>
      <c r="B71" s="8" t="s">
        <v>131</v>
      </c>
      <c r="C71" s="8" t="s">
        <v>75</v>
      </c>
      <c r="D71" s="29" t="s">
        <v>1</v>
      </c>
      <c r="E71" s="313"/>
      <c r="F71" s="314" t="s">
        <v>677</v>
      </c>
      <c r="G71" s="315" t="s">
        <v>678</v>
      </c>
      <c r="H71" s="316">
        <f>'App 7 - HH &amp; Capita'!G71</f>
        <v>13.911932191922419</v>
      </c>
      <c r="I71" s="313"/>
      <c r="J71" s="317" t="s">
        <v>677</v>
      </c>
      <c r="K71" s="318" t="s">
        <v>676</v>
      </c>
      <c r="L71" s="319">
        <f>'App 7 - HH &amp; Capita'!L71</f>
        <v>2.4891725115940355</v>
      </c>
      <c r="M71" s="313"/>
      <c r="N71" s="320"/>
      <c r="O71" s="320"/>
      <c r="P71" s="321"/>
      <c r="Q71" s="322"/>
      <c r="R71" s="322"/>
      <c r="S71" s="323"/>
      <c r="T71" s="313"/>
      <c r="U71" s="324">
        <f t="shared" si="1"/>
        <v>16.401104703516456</v>
      </c>
      <c r="V71" s="157">
        <v>2</v>
      </c>
      <c r="W71" s="325">
        <f>'App 3 - Recycling Rate'!S71</f>
        <v>0.20914917673184352</v>
      </c>
      <c r="Y71"/>
      <c r="Z71"/>
    </row>
    <row r="72" spans="1:26" x14ac:dyDescent="0.2">
      <c r="A72" s="8">
        <v>14850</v>
      </c>
      <c r="B72" s="8" t="s">
        <v>132</v>
      </c>
      <c r="C72" s="8" t="s">
        <v>20</v>
      </c>
      <c r="D72" s="29" t="s">
        <v>4</v>
      </c>
      <c r="E72" s="313"/>
      <c r="F72" s="314" t="s">
        <v>675</v>
      </c>
      <c r="G72" s="315" t="s">
        <v>676</v>
      </c>
      <c r="H72" s="316">
        <f>'App 7 - HH &amp; Capita'!G72</f>
        <v>7.8729132733541256</v>
      </c>
      <c r="I72" s="313"/>
      <c r="J72" s="317" t="s">
        <v>677</v>
      </c>
      <c r="K72" s="318" t="s">
        <v>676</v>
      </c>
      <c r="L72" s="319">
        <f>'App 7 - HH &amp; Capita'!L72</f>
        <v>3.9859112232367191</v>
      </c>
      <c r="M72" s="313"/>
      <c r="N72" s="320"/>
      <c r="O72" s="320"/>
      <c r="P72" s="321"/>
      <c r="Q72" s="322" t="s">
        <v>677</v>
      </c>
      <c r="R72" s="322" t="s">
        <v>678</v>
      </c>
      <c r="S72" s="323">
        <f>'App 7 - HH &amp; Capita'!S72</f>
        <v>8.4822333814425619</v>
      </c>
      <c r="T72" s="313"/>
      <c r="U72" s="324">
        <f t="shared" si="1"/>
        <v>20.341057878033407</v>
      </c>
      <c r="V72" s="157">
        <v>4</v>
      </c>
      <c r="W72" s="325">
        <f>'App 3 - Recycling Rate'!S72</f>
        <v>0.70675845036008889</v>
      </c>
      <c r="Y72"/>
      <c r="Z72"/>
    </row>
    <row r="73" spans="1:26" x14ac:dyDescent="0.2">
      <c r="A73" s="8">
        <v>14870</v>
      </c>
      <c r="B73" s="8" t="s">
        <v>133</v>
      </c>
      <c r="C73" s="8" t="s">
        <v>42</v>
      </c>
      <c r="D73" s="29" t="s">
        <v>1</v>
      </c>
      <c r="E73" s="313"/>
      <c r="F73" s="314" t="s">
        <v>677</v>
      </c>
      <c r="G73" s="315" t="s">
        <v>678</v>
      </c>
      <c r="H73" s="316">
        <f>'App 7 - HH &amp; Capita'!G73</f>
        <v>12.920365592338303</v>
      </c>
      <c r="I73" s="313"/>
      <c r="J73" s="317" t="s">
        <v>677</v>
      </c>
      <c r="K73" s="318" t="s">
        <v>676</v>
      </c>
      <c r="L73" s="319">
        <f>'App 7 - HH &amp; Capita'!L73</f>
        <v>2.5399543378995437</v>
      </c>
      <c r="M73" s="313"/>
      <c r="N73" s="320"/>
      <c r="O73" s="320"/>
      <c r="P73" s="321"/>
      <c r="Q73" s="322"/>
      <c r="R73" s="322"/>
      <c r="S73" s="323"/>
      <c r="T73" s="313"/>
      <c r="U73" s="324">
        <f t="shared" si="1"/>
        <v>15.460319930237848</v>
      </c>
      <c r="V73" s="157">
        <v>2</v>
      </c>
      <c r="W73" s="325">
        <f>'App 3 - Recycling Rate'!S73</f>
        <v>8.7147785098181982E-2</v>
      </c>
      <c r="Y73"/>
      <c r="Z73"/>
    </row>
    <row r="74" spans="1:26" x14ac:dyDescent="0.2">
      <c r="A74" s="8">
        <v>14900</v>
      </c>
      <c r="B74" s="8" t="s">
        <v>60</v>
      </c>
      <c r="C74" s="8" t="s">
        <v>19</v>
      </c>
      <c r="D74" s="29" t="s">
        <v>3</v>
      </c>
      <c r="E74" s="313"/>
      <c r="F74" s="314" t="s">
        <v>675</v>
      </c>
      <c r="G74" s="315" t="s">
        <v>678</v>
      </c>
      <c r="H74" s="316">
        <f>'App 7 - HH &amp; Capita'!G74</f>
        <v>15.938864311753731</v>
      </c>
      <c r="I74" s="313"/>
      <c r="J74" s="317" t="s">
        <v>677</v>
      </c>
      <c r="K74" s="318" t="s">
        <v>676</v>
      </c>
      <c r="L74" s="319">
        <f>'App 7 - HH &amp; Capita'!L74</f>
        <v>4.2119084739225494</v>
      </c>
      <c r="M74" s="313"/>
      <c r="N74" s="320" t="s">
        <v>677</v>
      </c>
      <c r="O74" s="320" t="s">
        <v>676</v>
      </c>
      <c r="P74" s="321">
        <f>'App 7 - HH &amp; Capita'!P74</f>
        <v>6.9555581871394496</v>
      </c>
      <c r="Q74" s="322"/>
      <c r="R74" s="322"/>
      <c r="S74" s="323"/>
      <c r="T74" s="313"/>
      <c r="U74" s="324">
        <f t="shared" si="1"/>
        <v>27.10633097281573</v>
      </c>
      <c r="V74" s="157">
        <v>3</v>
      </c>
      <c r="W74" s="325">
        <f>'App 3 - Recycling Rate'!S74</f>
        <v>0.40324397662643874</v>
      </c>
      <c r="Y74"/>
      <c r="Z74"/>
    </row>
    <row r="75" spans="1:26" x14ac:dyDescent="0.2">
      <c r="A75" s="8">
        <v>14920</v>
      </c>
      <c r="B75" s="8" t="s">
        <v>134</v>
      </c>
      <c r="C75" s="8" t="s">
        <v>17</v>
      </c>
      <c r="D75" s="29" t="s">
        <v>1</v>
      </c>
      <c r="E75" s="313"/>
      <c r="F75" s="314" t="s">
        <v>677</v>
      </c>
      <c r="G75" s="315" t="s">
        <v>678</v>
      </c>
      <c r="H75" s="316">
        <f>'App 7 - HH &amp; Capita'!G75</f>
        <v>11.907250358337315</v>
      </c>
      <c r="I75" s="313"/>
      <c r="J75" s="317" t="s">
        <v>677</v>
      </c>
      <c r="K75" s="318" t="s">
        <v>676</v>
      </c>
      <c r="L75" s="319">
        <f>'App 7 - HH &amp; Capita'!L75</f>
        <v>3.0697002527988442</v>
      </c>
      <c r="M75" s="313"/>
      <c r="N75" s="320"/>
      <c r="O75" s="320"/>
      <c r="P75" s="321"/>
      <c r="Q75" s="322"/>
      <c r="R75" s="322"/>
      <c r="S75" s="323"/>
      <c r="T75" s="313"/>
      <c r="U75" s="324">
        <f t="shared" si="1"/>
        <v>14.976950611136159</v>
      </c>
      <c r="V75" s="157">
        <v>2</v>
      </c>
      <c r="W75" s="325">
        <f>'App 3 - Recycling Rate'!S75</f>
        <v>0.20385526810223784</v>
      </c>
      <c r="Y75"/>
      <c r="Z75"/>
    </row>
    <row r="76" spans="1:26" x14ac:dyDescent="0.2">
      <c r="A76" s="8">
        <v>14950</v>
      </c>
      <c r="B76" s="8" t="s">
        <v>135</v>
      </c>
      <c r="C76" s="8" t="s">
        <v>22</v>
      </c>
      <c r="D76" s="29" t="s">
        <v>1</v>
      </c>
      <c r="E76" s="313"/>
      <c r="F76" s="314" t="s">
        <v>677</v>
      </c>
      <c r="G76" s="315" t="s">
        <v>678</v>
      </c>
      <c r="H76" s="316">
        <f>'App 7 - HH &amp; Capita'!G76</f>
        <v>6.942074768531997</v>
      </c>
      <c r="I76" s="313"/>
      <c r="J76" s="317" t="s">
        <v>677</v>
      </c>
      <c r="K76" s="318" t="s">
        <v>676</v>
      </c>
      <c r="L76" s="319">
        <f>'App 7 - HH &amp; Capita'!L76</f>
        <v>1.0590752926104932</v>
      </c>
      <c r="M76" s="313"/>
      <c r="N76" s="320"/>
      <c r="O76" s="320"/>
      <c r="P76" s="321"/>
      <c r="Q76" s="322" t="s">
        <v>677</v>
      </c>
      <c r="R76" s="322" t="s">
        <v>678</v>
      </c>
      <c r="S76" s="323">
        <f>'App 7 - HH &amp; Capita'!S76</f>
        <v>5.1728003260932862</v>
      </c>
      <c r="T76" s="313"/>
      <c r="U76" s="324">
        <f t="shared" si="1"/>
        <v>13.173950387235775</v>
      </c>
      <c r="V76" s="157">
        <v>4</v>
      </c>
      <c r="W76" s="325">
        <f>'App 3 - Recycling Rate'!S76</f>
        <v>0.48159018534552339</v>
      </c>
      <c r="Y76"/>
      <c r="Z76"/>
    </row>
    <row r="77" spans="1:26" x14ac:dyDescent="0.2">
      <c r="A77" s="8">
        <v>15050</v>
      </c>
      <c r="B77" s="8" t="s">
        <v>136</v>
      </c>
      <c r="C77" s="8" t="s">
        <v>25</v>
      </c>
      <c r="D77" s="29" t="s">
        <v>2</v>
      </c>
      <c r="E77" s="313"/>
      <c r="F77" s="314" t="s">
        <v>677</v>
      </c>
      <c r="G77" s="315" t="s">
        <v>678</v>
      </c>
      <c r="H77" s="316">
        <f>'App 7 - HH &amp; Capita'!G77</f>
        <v>14.409343163977578</v>
      </c>
      <c r="I77" s="313"/>
      <c r="J77" s="317" t="s">
        <v>677</v>
      </c>
      <c r="K77" s="318" t="s">
        <v>676</v>
      </c>
      <c r="L77" s="319">
        <f>'App 7 - HH &amp; Capita'!L77</f>
        <v>3.1850632804866073</v>
      </c>
      <c r="M77" s="313"/>
      <c r="N77" s="320" t="s">
        <v>677</v>
      </c>
      <c r="O77" s="320" t="s">
        <v>676</v>
      </c>
      <c r="P77" s="321">
        <f>'App 7 - HH &amp; Capita'!P77</f>
        <v>6.4268148432130676</v>
      </c>
      <c r="Q77" s="322"/>
      <c r="R77" s="322"/>
      <c r="S77" s="323"/>
      <c r="T77" s="313"/>
      <c r="U77" s="324">
        <f t="shared" si="1"/>
        <v>24.02122128767725</v>
      </c>
      <c r="V77" s="157">
        <v>3</v>
      </c>
      <c r="W77" s="325">
        <f>'App 3 - Recycling Rate'!S77</f>
        <v>0.40632153975566793</v>
      </c>
      <c r="Y77"/>
      <c r="Z77"/>
    </row>
    <row r="78" spans="1:26" x14ac:dyDescent="0.2">
      <c r="A78" s="8">
        <v>15240</v>
      </c>
      <c r="B78" s="8" t="s">
        <v>137</v>
      </c>
      <c r="C78" s="8" t="s">
        <v>43</v>
      </c>
      <c r="D78" s="29" t="s">
        <v>4</v>
      </c>
      <c r="E78" s="313"/>
      <c r="F78" s="314" t="s">
        <v>675</v>
      </c>
      <c r="G78" s="315" t="s">
        <v>678</v>
      </c>
      <c r="H78" s="316">
        <f>'App 7 - HH &amp; Capita'!G78</f>
        <v>9.5519777467578333</v>
      </c>
      <c r="I78" s="313"/>
      <c r="J78" s="317" t="s">
        <v>677</v>
      </c>
      <c r="K78" s="318" t="s">
        <v>676</v>
      </c>
      <c r="L78" s="319">
        <f>'App 7 - HH &amp; Capita'!L78</f>
        <v>3.7173111428809986</v>
      </c>
      <c r="M78" s="313"/>
      <c r="N78" s="320" t="s">
        <v>677</v>
      </c>
      <c r="O78" s="320" t="s">
        <v>676</v>
      </c>
      <c r="P78" s="321">
        <f>'App 7 - HH &amp; Capita'!P78</f>
        <v>5.8507940623056873</v>
      </c>
      <c r="Q78" s="322"/>
      <c r="R78" s="322"/>
      <c r="S78" s="323"/>
      <c r="T78" s="313"/>
      <c r="U78" s="324">
        <f t="shared" si="1"/>
        <v>19.120082951944518</v>
      </c>
      <c r="V78" s="157">
        <v>3</v>
      </c>
      <c r="W78" s="325">
        <f>'App 3 - Recycling Rate'!S78</f>
        <v>0.3731087380550665</v>
      </c>
      <c r="Y78"/>
      <c r="Z78"/>
    </row>
    <row r="79" spans="1:26" x14ac:dyDescent="0.2">
      <c r="A79" s="8">
        <v>15270</v>
      </c>
      <c r="B79" s="8" t="s">
        <v>138</v>
      </c>
      <c r="C79" s="8" t="s">
        <v>42</v>
      </c>
      <c r="D79" s="29" t="s">
        <v>1</v>
      </c>
      <c r="E79" s="313"/>
      <c r="F79" s="314" t="s">
        <v>677</v>
      </c>
      <c r="G79" s="315" t="s">
        <v>678</v>
      </c>
      <c r="H79" s="316">
        <f>'App 7 - HH &amp; Capita'!G79</f>
        <v>9.6107011775500837</v>
      </c>
      <c r="I79" s="313"/>
      <c r="J79" s="317" t="s">
        <v>677</v>
      </c>
      <c r="K79" s="318" t="s">
        <v>676</v>
      </c>
      <c r="L79" s="319">
        <f>'App 7 - HH &amp; Capita'!L79</f>
        <v>5.0983999847071422</v>
      </c>
      <c r="M79" s="313"/>
      <c r="N79" s="320"/>
      <c r="O79" s="320"/>
      <c r="P79" s="321"/>
      <c r="Q79" s="322" t="s">
        <v>677</v>
      </c>
      <c r="R79" s="322" t="s">
        <v>678</v>
      </c>
      <c r="S79" s="323">
        <f>'App 7 - HH &amp; Capita'!S79</f>
        <v>6.1936553754396702</v>
      </c>
      <c r="T79" s="313"/>
      <c r="U79" s="324">
        <f t="shared" si="1"/>
        <v>20.902756537696895</v>
      </c>
      <c r="V79" s="157">
        <v>4</v>
      </c>
      <c r="W79" s="325">
        <f>'App 3 - Recycling Rate'!S79</f>
        <v>0.34016999343040366</v>
      </c>
      <c r="Y79"/>
      <c r="Z79"/>
    </row>
    <row r="80" spans="1:26" x14ac:dyDescent="0.2">
      <c r="A80" s="8">
        <v>15300</v>
      </c>
      <c r="B80" s="8" t="s">
        <v>139</v>
      </c>
      <c r="C80" s="8" t="s">
        <v>17</v>
      </c>
      <c r="D80" s="29" t="s">
        <v>1</v>
      </c>
      <c r="E80" s="313"/>
      <c r="F80" s="314" t="s">
        <v>675</v>
      </c>
      <c r="G80" s="315" t="s">
        <v>678</v>
      </c>
      <c r="H80" s="316">
        <f>'App 7 - HH &amp; Capita'!G80</f>
        <v>7.2469969879153711</v>
      </c>
      <c r="I80" s="313"/>
      <c r="J80" s="317" t="s">
        <v>677</v>
      </c>
      <c r="K80" s="318" t="s">
        <v>676</v>
      </c>
      <c r="L80" s="319">
        <f>'App 7 - HH &amp; Capita'!L80</f>
        <v>19.201279959844399</v>
      </c>
      <c r="M80" s="313"/>
      <c r="N80" s="320"/>
      <c r="O80" s="320"/>
      <c r="P80" s="321"/>
      <c r="Q80" s="322" t="s">
        <v>677</v>
      </c>
      <c r="R80" s="326" t="s">
        <v>676</v>
      </c>
      <c r="S80" s="323">
        <f>'App 7 - HH &amp; Capita'!S80</f>
        <v>3.0236235426231133</v>
      </c>
      <c r="T80" s="313"/>
      <c r="U80" s="324">
        <f t="shared" si="1"/>
        <v>29.471900490382883</v>
      </c>
      <c r="V80" s="157">
        <v>4</v>
      </c>
      <c r="W80" s="325">
        <f>'App 3 - Recycling Rate'!S80</f>
        <v>0.37577454760900081</v>
      </c>
      <c r="Y80"/>
      <c r="Z80"/>
    </row>
    <row r="81" spans="1:26" x14ac:dyDescent="0.2">
      <c r="A81" s="8">
        <v>15350</v>
      </c>
      <c r="B81" s="8" t="s">
        <v>140</v>
      </c>
      <c r="C81" s="8" t="s">
        <v>26</v>
      </c>
      <c r="D81" s="29" t="s">
        <v>3</v>
      </c>
      <c r="E81" s="313"/>
      <c r="F81" s="314" t="s">
        <v>682</v>
      </c>
      <c r="G81" s="315" t="s">
        <v>678</v>
      </c>
      <c r="H81" s="316">
        <f>'App 7 - HH &amp; Capita'!G81</f>
        <v>9.1964965727341959</v>
      </c>
      <c r="I81" s="313"/>
      <c r="J81" s="317" t="s">
        <v>677</v>
      </c>
      <c r="K81" s="318" t="s">
        <v>676</v>
      </c>
      <c r="L81" s="319">
        <f>'App 7 - HH &amp; Capita'!L81</f>
        <v>3.7963559669576421</v>
      </c>
      <c r="M81" s="313"/>
      <c r="N81" s="320" t="s">
        <v>677</v>
      </c>
      <c r="O81" s="320" t="s">
        <v>685</v>
      </c>
      <c r="P81" s="321">
        <f>'App 7 - HH &amp; Capita'!P81</f>
        <v>2.369793192336985</v>
      </c>
      <c r="Q81" s="322"/>
      <c r="R81" s="322"/>
      <c r="S81" s="323"/>
      <c r="T81" s="313"/>
      <c r="U81" s="324">
        <f t="shared" si="1"/>
        <v>15.362645732028824</v>
      </c>
      <c r="V81" s="157">
        <v>3</v>
      </c>
      <c r="W81" s="325">
        <f>'App 3 - Recycling Rate'!S81</f>
        <v>0.43648072157161077</v>
      </c>
      <c r="Y81"/>
      <c r="Z81"/>
    </row>
    <row r="82" spans="1:26" x14ac:dyDescent="0.2">
      <c r="A82" s="8">
        <v>15520</v>
      </c>
      <c r="B82" s="8" t="s">
        <v>141</v>
      </c>
      <c r="C82" s="8" t="s">
        <v>73</v>
      </c>
      <c r="D82" s="29" t="s">
        <v>1</v>
      </c>
      <c r="E82" s="313"/>
      <c r="F82" s="314" t="s">
        <v>680</v>
      </c>
      <c r="G82" s="315" t="s">
        <v>678</v>
      </c>
      <c r="H82" s="316">
        <f>'App 7 - HH &amp; Capita'!G82</f>
        <v>6.3426811809896391</v>
      </c>
      <c r="I82" s="313"/>
      <c r="J82" s="317" t="s">
        <v>677</v>
      </c>
      <c r="K82" s="318" t="s">
        <v>676</v>
      </c>
      <c r="L82" s="319">
        <f>'App 7 - HH &amp; Capita'!L82</f>
        <v>2.7250339302132129</v>
      </c>
      <c r="M82" s="313"/>
      <c r="N82" s="320" t="s">
        <v>677</v>
      </c>
      <c r="O82" s="320" t="s">
        <v>676</v>
      </c>
      <c r="P82" s="321">
        <f>'App 7 - HH &amp; Capita'!P82</f>
        <v>5.8758531278872237</v>
      </c>
      <c r="Q82" s="322"/>
      <c r="R82" s="322"/>
      <c r="S82" s="323"/>
      <c r="T82" s="313"/>
      <c r="U82" s="324">
        <f t="shared" si="1"/>
        <v>14.943568239090075</v>
      </c>
      <c r="V82" s="157">
        <v>3</v>
      </c>
      <c r="W82" s="325">
        <f>'App 3 - Recycling Rate'!S82</f>
        <v>0.59084011784621437</v>
      </c>
      <c r="Y82"/>
      <c r="Z82"/>
    </row>
    <row r="83" spans="1:26" x14ac:dyDescent="0.2">
      <c r="A83" s="8">
        <v>15560</v>
      </c>
      <c r="B83" s="8" t="s">
        <v>142</v>
      </c>
      <c r="C83" s="8" t="s">
        <v>75</v>
      </c>
      <c r="D83" s="29" t="s">
        <v>1</v>
      </c>
      <c r="E83" s="313"/>
      <c r="F83" s="314" t="s">
        <v>677</v>
      </c>
      <c r="G83" s="315" t="s">
        <v>678</v>
      </c>
      <c r="H83" s="316">
        <f>'App 7 - HH &amp; Capita'!G83</f>
        <v>12.261914493582932</v>
      </c>
      <c r="I83" s="313"/>
      <c r="J83" s="317" t="s">
        <v>677</v>
      </c>
      <c r="K83" s="318" t="s">
        <v>676</v>
      </c>
      <c r="L83" s="319">
        <f>'App 7 - HH &amp; Capita'!L83</f>
        <v>2.4917006544626763</v>
      </c>
      <c r="M83" s="313"/>
      <c r="N83" s="320"/>
      <c r="O83" s="320"/>
      <c r="P83" s="321"/>
      <c r="Q83" s="322"/>
      <c r="R83" s="322"/>
      <c r="S83" s="323"/>
      <c r="T83" s="313"/>
      <c r="U83" s="324">
        <f t="shared" si="1"/>
        <v>14.753615148045608</v>
      </c>
      <c r="V83" s="157">
        <v>2</v>
      </c>
      <c r="W83" s="325">
        <f>'App 3 - Recycling Rate'!S83</f>
        <v>0.11121852584349262</v>
      </c>
      <c r="Y83"/>
      <c r="Z83"/>
    </row>
    <row r="84" spans="1:26" x14ac:dyDescent="0.2">
      <c r="A84" s="8">
        <v>15650</v>
      </c>
      <c r="B84" s="8" t="s">
        <v>143</v>
      </c>
      <c r="C84" s="8" t="s">
        <v>25</v>
      </c>
      <c r="D84" s="29" t="s">
        <v>4</v>
      </c>
      <c r="E84" s="313"/>
      <c r="F84" s="314" t="s">
        <v>675</v>
      </c>
      <c r="G84" s="315" t="s">
        <v>678</v>
      </c>
      <c r="H84" s="316">
        <f>'App 7 - HH &amp; Capita'!G84</f>
        <v>10.654172255516041</v>
      </c>
      <c r="I84" s="313"/>
      <c r="J84" s="317" t="s">
        <v>677</v>
      </c>
      <c r="K84" s="318" t="s">
        <v>676</v>
      </c>
      <c r="L84" s="319">
        <f>'App 7 - HH &amp; Capita'!L84</f>
        <v>3.0849908335216858</v>
      </c>
      <c r="M84" s="313"/>
      <c r="N84" s="320" t="s">
        <v>677</v>
      </c>
      <c r="O84" s="320" t="s">
        <v>676</v>
      </c>
      <c r="P84" s="321">
        <f>'App 7 - HH &amp; Capita'!P84</f>
        <v>6.0839953835417901</v>
      </c>
      <c r="Q84" s="322"/>
      <c r="R84" s="322"/>
      <c r="S84" s="323"/>
      <c r="T84" s="313"/>
      <c r="U84" s="324">
        <f t="shared" si="1"/>
        <v>19.823158472579518</v>
      </c>
      <c r="V84" s="157">
        <v>3</v>
      </c>
      <c r="W84" s="325">
        <f>'App 3 - Recycling Rate'!S84</f>
        <v>0.45711572507937254</v>
      </c>
      <c r="Y84"/>
      <c r="Z84"/>
    </row>
    <row r="85" spans="1:26" x14ac:dyDescent="0.2">
      <c r="A85" s="8">
        <v>15700</v>
      </c>
      <c r="B85" s="8" t="s">
        <v>61</v>
      </c>
      <c r="C85" s="8" t="s">
        <v>43</v>
      </c>
      <c r="D85" s="29" t="s">
        <v>4</v>
      </c>
      <c r="E85" s="313"/>
      <c r="F85" s="314" t="s">
        <v>677</v>
      </c>
      <c r="G85" s="315" t="s">
        <v>676</v>
      </c>
      <c r="H85" s="316">
        <f>'App 7 - HH &amp; Capita'!G85</f>
        <v>9.9503758715450488</v>
      </c>
      <c r="I85" s="313"/>
      <c r="J85" s="317" t="s">
        <v>677</v>
      </c>
      <c r="K85" s="318" t="s">
        <v>676</v>
      </c>
      <c r="L85" s="319">
        <f>'App 7 - HH &amp; Capita'!L85</f>
        <v>4.1306125229951629</v>
      </c>
      <c r="M85" s="313"/>
      <c r="N85" s="320"/>
      <c r="O85" s="320"/>
      <c r="P85" s="321"/>
      <c r="Q85" s="322" t="s">
        <v>677</v>
      </c>
      <c r="R85" s="322" t="s">
        <v>678</v>
      </c>
      <c r="S85" s="323">
        <f>'App 7 - HH &amp; Capita'!S85</f>
        <v>7.3385796370738792</v>
      </c>
      <c r="T85" s="313"/>
      <c r="U85" s="324">
        <f t="shared" si="1"/>
        <v>21.419568031614091</v>
      </c>
      <c r="V85" s="157">
        <v>4</v>
      </c>
      <c r="W85" s="325">
        <f>'App 3 - Recycling Rate'!S85</f>
        <v>0.5659030002075992</v>
      </c>
      <c r="Y85"/>
      <c r="Z85"/>
    </row>
    <row r="86" spans="1:26" x14ac:dyDescent="0.2">
      <c r="A86" s="8">
        <v>15750</v>
      </c>
      <c r="B86" s="8" t="s">
        <v>144</v>
      </c>
      <c r="C86" s="8" t="s">
        <v>17</v>
      </c>
      <c r="D86" s="29" t="s">
        <v>1</v>
      </c>
      <c r="E86" s="313"/>
      <c r="F86" s="314" t="s">
        <v>675</v>
      </c>
      <c r="G86" s="315" t="s">
        <v>678</v>
      </c>
      <c r="H86" s="316">
        <f>'App 7 - HH &amp; Capita'!G86</f>
        <v>9.774230240186224</v>
      </c>
      <c r="I86" s="313"/>
      <c r="J86" s="317" t="s">
        <v>677</v>
      </c>
      <c r="K86" s="318" t="s">
        <v>676</v>
      </c>
      <c r="L86" s="319">
        <f>'App 7 - HH &amp; Capita'!L86</f>
        <v>2.3787664361721186</v>
      </c>
      <c r="M86" s="313"/>
      <c r="N86" s="320"/>
      <c r="O86" s="320"/>
      <c r="P86" s="321"/>
      <c r="Q86" s="322" t="s">
        <v>677</v>
      </c>
      <c r="R86" s="326" t="s">
        <v>676</v>
      </c>
      <c r="S86" s="323">
        <f>'App 7 - HH &amp; Capita'!S86</f>
        <v>3.9216169252266133</v>
      </c>
      <c r="T86" s="313"/>
      <c r="U86" s="324">
        <f t="shared" si="1"/>
        <v>16.074613601584954</v>
      </c>
      <c r="V86" s="157">
        <v>4</v>
      </c>
      <c r="W86" s="325">
        <f>'App 3 - Recycling Rate'!S86</f>
        <v>0.64438983553822482</v>
      </c>
      <c r="Y86"/>
      <c r="Z86"/>
    </row>
    <row r="87" spans="1:26" x14ac:dyDescent="0.2">
      <c r="A87" s="8">
        <v>15800</v>
      </c>
      <c r="B87" s="8" t="s">
        <v>145</v>
      </c>
      <c r="C87" s="8" t="s">
        <v>75</v>
      </c>
      <c r="D87" s="29" t="s">
        <v>1</v>
      </c>
      <c r="E87" s="313"/>
      <c r="F87" s="314" t="s">
        <v>677</v>
      </c>
      <c r="G87" s="315" t="s">
        <v>678</v>
      </c>
      <c r="H87" s="316">
        <f>'App 7 - HH &amp; Capita'!G87</f>
        <v>20</v>
      </c>
      <c r="I87" s="313"/>
      <c r="J87" s="317" t="s">
        <v>677</v>
      </c>
      <c r="K87" s="318" t="s">
        <v>676</v>
      </c>
      <c r="L87" s="319">
        <f>'App 7 - HH &amp; Capita'!L87</f>
        <v>7.4925074925074933</v>
      </c>
      <c r="M87" s="313"/>
      <c r="N87" s="320"/>
      <c r="O87" s="320"/>
      <c r="P87" s="321"/>
      <c r="Q87" s="322"/>
      <c r="R87" s="322"/>
      <c r="S87" s="323"/>
      <c r="T87" s="313"/>
      <c r="U87" s="324">
        <f t="shared" si="1"/>
        <v>27.492507492507492</v>
      </c>
      <c r="V87" s="157">
        <v>2</v>
      </c>
      <c r="W87" s="325">
        <f>'App 3 - Recycling Rate'!S87</f>
        <v>0.25104041458704635</v>
      </c>
      <c r="Y87"/>
      <c r="Z87"/>
    </row>
    <row r="88" spans="1:26" x14ac:dyDescent="0.2">
      <c r="A88" s="8">
        <v>15850</v>
      </c>
      <c r="B88" s="8" t="s">
        <v>146</v>
      </c>
      <c r="C88" s="8" t="s">
        <v>42</v>
      </c>
      <c r="D88" s="29" t="s">
        <v>1</v>
      </c>
      <c r="E88" s="313"/>
      <c r="F88" s="314" t="s">
        <v>677</v>
      </c>
      <c r="G88" s="315" t="s">
        <v>678</v>
      </c>
      <c r="H88" s="316">
        <f>'App 7 - HH &amp; Capita'!G88</f>
        <v>13.458722829147426</v>
      </c>
      <c r="I88" s="313"/>
      <c r="J88" s="317" t="s">
        <v>677</v>
      </c>
      <c r="K88" s="318" t="s">
        <v>676</v>
      </c>
      <c r="L88" s="319">
        <f>'App 7 - HH &amp; Capita'!L88</f>
        <v>3.1504671039554761</v>
      </c>
      <c r="M88" s="313"/>
      <c r="N88" s="320"/>
      <c r="O88" s="320"/>
      <c r="P88" s="321"/>
      <c r="Q88" s="322" t="s">
        <v>677</v>
      </c>
      <c r="R88" s="322" t="s">
        <v>678</v>
      </c>
      <c r="S88" s="323">
        <f>'App 7 - HH &amp; Capita'!S88</f>
        <v>8.0003975352812553</v>
      </c>
      <c r="T88" s="313"/>
      <c r="U88" s="324">
        <f t="shared" si="1"/>
        <v>24.609587468384159</v>
      </c>
      <c r="V88" s="157">
        <v>4</v>
      </c>
      <c r="W88" s="325">
        <f>'App 3 - Recycling Rate'!S88</f>
        <v>0.43390460191634878</v>
      </c>
      <c r="Y88"/>
      <c r="Z88"/>
    </row>
    <row r="89" spans="1:26" x14ac:dyDescent="0.2">
      <c r="A89" s="8">
        <v>15900</v>
      </c>
      <c r="B89" s="8" t="s">
        <v>147</v>
      </c>
      <c r="C89" s="8" t="s">
        <v>25</v>
      </c>
      <c r="D89" s="29" t="s">
        <v>2</v>
      </c>
      <c r="E89" s="313"/>
      <c r="F89" s="314" t="s">
        <v>675</v>
      </c>
      <c r="G89" s="315" t="s">
        <v>678</v>
      </c>
      <c r="H89" s="316">
        <f>'App 7 - HH &amp; Capita'!G89</f>
        <v>14.230776666111495</v>
      </c>
      <c r="I89" s="313"/>
      <c r="J89" s="317" t="s">
        <v>677</v>
      </c>
      <c r="K89" s="318" t="s">
        <v>676</v>
      </c>
      <c r="L89" s="319">
        <f>'App 7 - HH &amp; Capita'!L89</f>
        <v>4.9489492085446436</v>
      </c>
      <c r="M89" s="313"/>
      <c r="N89" s="320" t="s">
        <v>677</v>
      </c>
      <c r="O89" s="320" t="s">
        <v>676</v>
      </c>
      <c r="P89" s="321">
        <f>'App 7 - HH &amp; Capita'!P89</f>
        <v>6.0659652401365554</v>
      </c>
      <c r="Q89" s="322"/>
      <c r="R89" s="322"/>
      <c r="S89" s="323"/>
      <c r="T89" s="313"/>
      <c r="U89" s="324">
        <f t="shared" si="1"/>
        <v>25.245691114792695</v>
      </c>
      <c r="V89" s="157">
        <v>3</v>
      </c>
      <c r="W89" s="325">
        <f>'App 3 - Recycling Rate'!S89</f>
        <v>0.40241959505402347</v>
      </c>
      <c r="Y89"/>
      <c r="Z89"/>
    </row>
    <row r="90" spans="1:26" x14ac:dyDescent="0.2">
      <c r="A90" s="8">
        <v>15950</v>
      </c>
      <c r="B90" s="8" t="s">
        <v>62</v>
      </c>
      <c r="C90" s="8" t="s">
        <v>26</v>
      </c>
      <c r="D90" s="29" t="s">
        <v>3</v>
      </c>
      <c r="E90" s="313"/>
      <c r="F90" s="314" t="s">
        <v>686</v>
      </c>
      <c r="G90" s="315" t="s">
        <v>678</v>
      </c>
      <c r="H90" s="316">
        <f>'App 7 - HH &amp; Capita'!G90</f>
        <v>6.5020755393840002</v>
      </c>
      <c r="I90" s="313"/>
      <c r="J90" s="317" t="s">
        <v>675</v>
      </c>
      <c r="K90" s="318" t="s">
        <v>678</v>
      </c>
      <c r="L90" s="319">
        <f>'App 7 - HH &amp; Capita'!L90</f>
        <v>2.8030698173681663</v>
      </c>
      <c r="M90" s="313"/>
      <c r="N90" s="320"/>
      <c r="O90" s="320"/>
      <c r="P90" s="321"/>
      <c r="Q90" s="322"/>
      <c r="R90" s="322"/>
      <c r="S90" s="323"/>
      <c r="T90" s="313"/>
      <c r="U90" s="324">
        <f t="shared" si="1"/>
        <v>9.3051453567521669</v>
      </c>
      <c r="V90" s="157">
        <v>2</v>
      </c>
      <c r="W90" s="325">
        <f>'App 3 - Recycling Rate'!S90</f>
        <v>0.33561250447982566</v>
      </c>
      <c r="Y90"/>
      <c r="Z90"/>
    </row>
    <row r="91" spans="1:26" x14ac:dyDescent="0.2">
      <c r="A91" s="8">
        <v>15990</v>
      </c>
      <c r="B91" s="8" t="s">
        <v>148</v>
      </c>
      <c r="C91" s="8"/>
      <c r="D91" s="29" t="s">
        <v>3</v>
      </c>
      <c r="E91" s="313"/>
      <c r="F91" s="314" t="s">
        <v>682</v>
      </c>
      <c r="G91" s="315" t="s">
        <v>678</v>
      </c>
      <c r="H91" s="316">
        <f>'App 7 - HH &amp; Capita'!G91</f>
        <v>8.0770901438685065</v>
      </c>
      <c r="I91" s="313"/>
      <c r="J91" s="317" t="s">
        <v>675</v>
      </c>
      <c r="K91" s="318" t="s">
        <v>678</v>
      </c>
      <c r="L91" s="319">
        <f>'App 7 - HH &amp; Capita'!L91</f>
        <v>3.9519737084361308</v>
      </c>
      <c r="M91" s="313"/>
      <c r="N91" s="320" t="s">
        <v>677</v>
      </c>
      <c r="O91" s="320" t="s">
        <v>676</v>
      </c>
      <c r="P91" s="321">
        <f>'App 7 - HH &amp; Capita'!P91</f>
        <v>5.0300277262938824</v>
      </c>
      <c r="Q91" s="322"/>
      <c r="R91" s="322"/>
      <c r="S91" s="323"/>
      <c r="T91" s="313"/>
      <c r="U91" s="324">
        <f t="shared" si="1"/>
        <v>17.059091578598519</v>
      </c>
      <c r="V91" s="157">
        <v>3</v>
      </c>
      <c r="W91" s="325">
        <f>'App 3 - Recycling Rate'!S91</f>
        <v>0.63415624495012235</v>
      </c>
      <c r="Y91"/>
      <c r="Z91"/>
    </row>
    <row r="92" spans="1:26" x14ac:dyDescent="0.2">
      <c r="A92" s="8">
        <v>16100</v>
      </c>
      <c r="B92" s="8" t="s">
        <v>149</v>
      </c>
      <c r="C92" s="8" t="s">
        <v>42</v>
      </c>
      <c r="D92" s="29" t="s">
        <v>1</v>
      </c>
      <c r="E92" s="313"/>
      <c r="F92" s="314" t="s">
        <v>677</v>
      </c>
      <c r="G92" s="315" t="s">
        <v>678</v>
      </c>
      <c r="H92" s="316">
        <f>'App 7 - HH &amp; Capita'!G92</f>
        <v>47.999897298962722</v>
      </c>
      <c r="I92" s="313"/>
      <c r="J92" s="317"/>
      <c r="K92" s="318"/>
      <c r="L92" s="319"/>
      <c r="M92" s="313"/>
      <c r="N92" s="320"/>
      <c r="O92" s="320"/>
      <c r="P92" s="321"/>
      <c r="Q92" s="322"/>
      <c r="R92" s="322"/>
      <c r="S92" s="323"/>
      <c r="T92" s="313"/>
      <c r="U92" s="324">
        <f t="shared" si="1"/>
        <v>47.999897298962722</v>
      </c>
      <c r="V92" s="157">
        <v>1</v>
      </c>
      <c r="W92" s="325">
        <f>'App 3 - Recycling Rate'!S92</f>
        <v>0.16863805510871424</v>
      </c>
      <c r="Y92"/>
      <c r="Z92"/>
    </row>
    <row r="93" spans="1:26" x14ac:dyDescent="0.2">
      <c r="A93" s="8">
        <v>16150</v>
      </c>
      <c r="B93" s="8" t="s">
        <v>150</v>
      </c>
      <c r="C93" s="8" t="s">
        <v>42</v>
      </c>
      <c r="D93" s="29" t="s">
        <v>1</v>
      </c>
      <c r="E93" s="313"/>
      <c r="F93" s="314" t="s">
        <v>677</v>
      </c>
      <c r="G93" s="315" t="s">
        <v>678</v>
      </c>
      <c r="H93" s="316">
        <f>'App 7 - HH &amp; Capita'!G93</f>
        <v>11.807393711096308</v>
      </c>
      <c r="I93" s="313"/>
      <c r="J93" s="317" t="s">
        <v>677</v>
      </c>
      <c r="K93" s="318" t="s">
        <v>676</v>
      </c>
      <c r="L93" s="319">
        <f>'App 7 - HH &amp; Capita'!L93</f>
        <v>3.3907227249123419</v>
      </c>
      <c r="M93" s="313"/>
      <c r="N93" s="320"/>
      <c r="O93" s="320"/>
      <c r="P93" s="321"/>
      <c r="Q93" s="322" t="s">
        <v>677</v>
      </c>
      <c r="R93" s="322" t="s">
        <v>678</v>
      </c>
      <c r="S93" s="323">
        <f>'App 7 - HH &amp; Capita'!S93</f>
        <v>7.201985635254494</v>
      </c>
      <c r="T93" s="313"/>
      <c r="U93" s="324">
        <f t="shared" si="1"/>
        <v>22.400102071263145</v>
      </c>
      <c r="V93" s="157">
        <v>4</v>
      </c>
      <c r="W93" s="325">
        <f>'App 3 - Recycling Rate'!S93</f>
        <v>0.46145058372072373</v>
      </c>
      <c r="Y93"/>
      <c r="Z93"/>
    </row>
    <row r="94" spans="1:26" x14ac:dyDescent="0.2">
      <c r="A94" s="8">
        <v>16200</v>
      </c>
      <c r="B94" s="8" t="s">
        <v>151</v>
      </c>
      <c r="C94" s="8" t="s">
        <v>42</v>
      </c>
      <c r="D94" s="29" t="s">
        <v>1</v>
      </c>
      <c r="E94" s="313"/>
      <c r="F94" s="314" t="s">
        <v>683</v>
      </c>
      <c r="G94" s="315" t="s">
        <v>676</v>
      </c>
      <c r="H94" s="316">
        <f>'App 7 - HH &amp; Capita'!G94</f>
        <v>7.9590512580203301</v>
      </c>
      <c r="I94" s="313"/>
      <c r="J94" s="317" t="s">
        <v>677</v>
      </c>
      <c r="K94" s="318" t="s">
        <v>676</v>
      </c>
      <c r="L94" s="319">
        <f>'App 7 - HH &amp; Capita'!L94</f>
        <v>2.8685559017676505</v>
      </c>
      <c r="M94" s="313"/>
      <c r="N94" s="320"/>
      <c r="O94" s="320"/>
      <c r="P94" s="321"/>
      <c r="Q94" s="322" t="s">
        <v>677</v>
      </c>
      <c r="R94" s="322" t="s">
        <v>678</v>
      </c>
      <c r="S94" s="323">
        <f>'App 7 - HH &amp; Capita'!S94</f>
        <v>7.1289336503389098</v>
      </c>
      <c r="T94" s="313"/>
      <c r="U94" s="324">
        <f t="shared" si="1"/>
        <v>17.956540810126889</v>
      </c>
      <c r="V94" s="157">
        <v>4</v>
      </c>
      <c r="W94" s="325">
        <f>'App 3 - Recycling Rate'!S94</f>
        <v>0.65901853479919525</v>
      </c>
      <c r="Y94"/>
      <c r="Z94"/>
    </row>
    <row r="95" spans="1:26" x14ac:dyDescent="0.2">
      <c r="A95" s="8">
        <v>16260</v>
      </c>
      <c r="B95" s="8" t="s">
        <v>63</v>
      </c>
      <c r="C95" s="8" t="s">
        <v>19</v>
      </c>
      <c r="D95" s="29" t="s">
        <v>3</v>
      </c>
      <c r="E95" s="313"/>
      <c r="F95" s="314" t="s">
        <v>675</v>
      </c>
      <c r="G95" s="315" t="s">
        <v>678</v>
      </c>
      <c r="H95" s="316">
        <f>'App 7 - HH &amp; Capita'!G95</f>
        <v>11.072460712748484</v>
      </c>
      <c r="I95" s="313"/>
      <c r="J95" s="317" t="s">
        <v>677</v>
      </c>
      <c r="K95" s="318" t="s">
        <v>676</v>
      </c>
      <c r="L95" s="319">
        <f>'App 7 - HH &amp; Capita'!L95</f>
        <v>2.5343470135648407</v>
      </c>
      <c r="M95" s="313"/>
      <c r="N95" s="320" t="s">
        <v>677</v>
      </c>
      <c r="O95" s="320" t="s">
        <v>676</v>
      </c>
      <c r="P95" s="321">
        <f>'App 7 - HH &amp; Capita'!P95</f>
        <v>3.2750247055554969</v>
      </c>
      <c r="Q95" s="322"/>
      <c r="R95" s="322"/>
      <c r="S95" s="323"/>
      <c r="T95" s="313"/>
      <c r="U95" s="324">
        <f t="shared" si="1"/>
        <v>16.881832431868823</v>
      </c>
      <c r="V95" s="157">
        <v>3</v>
      </c>
      <c r="W95" s="325">
        <f>'App 3 - Recycling Rate'!S95</f>
        <v>0.60267155933546035</v>
      </c>
      <c r="Y95"/>
      <c r="Z95"/>
    </row>
    <row r="96" spans="1:26" x14ac:dyDescent="0.2">
      <c r="A96" s="8">
        <v>16350</v>
      </c>
      <c r="B96" s="8" t="s">
        <v>64</v>
      </c>
      <c r="C96" s="8" t="s">
        <v>19</v>
      </c>
      <c r="D96" s="29" t="s">
        <v>3</v>
      </c>
      <c r="E96" s="313"/>
      <c r="F96" s="314" t="s">
        <v>675</v>
      </c>
      <c r="G96" s="315" t="s">
        <v>676</v>
      </c>
      <c r="H96" s="316">
        <f>'App 7 - HH &amp; Capita'!G96</f>
        <v>8.2003104574849193</v>
      </c>
      <c r="I96" s="313"/>
      <c r="J96" s="317" t="s">
        <v>677</v>
      </c>
      <c r="K96" s="318" t="s">
        <v>676</v>
      </c>
      <c r="L96" s="319">
        <f>'App 7 - HH &amp; Capita'!L96</f>
        <v>3.9630945948284646</v>
      </c>
      <c r="M96" s="313"/>
      <c r="N96" s="320"/>
      <c r="O96" s="320"/>
      <c r="P96" s="321"/>
      <c r="Q96" s="322" t="s">
        <v>677</v>
      </c>
      <c r="R96" s="326" t="s">
        <v>678</v>
      </c>
      <c r="S96" s="323">
        <f>'App 7 - HH &amp; Capita'!S96</f>
        <v>11.579511484870476</v>
      </c>
      <c r="T96" s="313"/>
      <c r="U96" s="324">
        <f t="shared" si="1"/>
        <v>23.742916537183859</v>
      </c>
      <c r="V96" s="157">
        <v>4</v>
      </c>
      <c r="W96" s="325">
        <f>'App 3 - Recycling Rate'!S96</f>
        <v>0.55584808685718334</v>
      </c>
      <c r="Y96"/>
      <c r="Z96"/>
    </row>
    <row r="97" spans="1:26" x14ac:dyDescent="0.2">
      <c r="A97" s="8">
        <v>16380</v>
      </c>
      <c r="B97" s="8" t="s">
        <v>152</v>
      </c>
      <c r="C97" s="8" t="s">
        <v>43</v>
      </c>
      <c r="D97" s="29" t="s">
        <v>4</v>
      </c>
      <c r="E97" s="313"/>
      <c r="F97" s="314" t="s">
        <v>677</v>
      </c>
      <c r="G97" s="315" t="s">
        <v>676</v>
      </c>
      <c r="H97" s="316">
        <f>'App 7 - HH &amp; Capita'!G97</f>
        <v>7.6586094222204038</v>
      </c>
      <c r="I97" s="313"/>
      <c r="J97" s="317" t="s">
        <v>677</v>
      </c>
      <c r="K97" s="318" t="s">
        <v>676</v>
      </c>
      <c r="L97" s="319">
        <f>'App 7 - HH &amp; Capita'!L97</f>
        <v>4.2721291752263557</v>
      </c>
      <c r="M97" s="313"/>
      <c r="N97" s="320"/>
      <c r="O97" s="320"/>
      <c r="P97" s="321"/>
      <c r="Q97" s="322" t="s">
        <v>677</v>
      </c>
      <c r="R97" s="322" t="s">
        <v>678</v>
      </c>
      <c r="S97" s="323">
        <f>'App 7 - HH &amp; Capita'!S97</f>
        <v>9.4239077112971366</v>
      </c>
      <c r="T97" s="313"/>
      <c r="U97" s="324">
        <f t="shared" si="1"/>
        <v>21.354646308743895</v>
      </c>
      <c r="V97" s="157">
        <v>4</v>
      </c>
      <c r="W97" s="325">
        <f>'App 3 - Recycling Rate'!S97</f>
        <v>0.6026719824392881</v>
      </c>
      <c r="Y97"/>
      <c r="Z97"/>
    </row>
    <row r="98" spans="1:26" x14ac:dyDescent="0.2">
      <c r="A98" s="8">
        <v>16400</v>
      </c>
      <c r="B98" s="8" t="s">
        <v>65</v>
      </c>
      <c r="C98" s="8" t="s">
        <v>25</v>
      </c>
      <c r="D98" s="29" t="s">
        <v>2</v>
      </c>
      <c r="E98" s="313"/>
      <c r="F98" s="314" t="s">
        <v>677</v>
      </c>
      <c r="G98" s="315" t="s">
        <v>678</v>
      </c>
      <c r="H98" s="316">
        <f>'App 7 - HH &amp; Capita'!G98</f>
        <v>19.479554501282564</v>
      </c>
      <c r="I98" s="313"/>
      <c r="J98" s="317" t="s">
        <v>677</v>
      </c>
      <c r="K98" s="318" t="s">
        <v>676</v>
      </c>
      <c r="L98" s="319">
        <f>'App 7 - HH &amp; Capita'!L98</f>
        <v>4.606403336161609</v>
      </c>
      <c r="M98" s="313"/>
      <c r="N98" s="320"/>
      <c r="O98" s="320"/>
      <c r="P98" s="321"/>
      <c r="Q98" s="322"/>
      <c r="R98" s="322"/>
      <c r="S98" s="323"/>
      <c r="T98" s="313"/>
      <c r="U98" s="324">
        <f t="shared" si="1"/>
        <v>24.085957837444173</v>
      </c>
      <c r="V98" s="157">
        <v>2</v>
      </c>
      <c r="W98" s="325">
        <f>'App 3 - Recycling Rate'!S98</f>
        <v>0.45886028178334293</v>
      </c>
      <c r="Y98"/>
      <c r="Z98"/>
    </row>
    <row r="99" spans="1:26" x14ac:dyDescent="0.2">
      <c r="A99" s="8">
        <v>16490</v>
      </c>
      <c r="B99" s="8" t="s">
        <v>153</v>
      </c>
      <c r="C99" s="8" t="s">
        <v>74</v>
      </c>
      <c r="D99" s="29" t="s">
        <v>1</v>
      </c>
      <c r="E99" s="313"/>
      <c r="F99" s="314" t="s">
        <v>675</v>
      </c>
      <c r="G99" s="315" t="s">
        <v>678</v>
      </c>
      <c r="H99" s="316">
        <f>'App 7 - HH &amp; Capita'!G99</f>
        <v>10.464620796773463</v>
      </c>
      <c r="I99" s="313"/>
      <c r="J99" s="317" t="s">
        <v>677</v>
      </c>
      <c r="K99" s="318" t="s">
        <v>676</v>
      </c>
      <c r="L99" s="319">
        <f>'App 7 - HH &amp; Capita'!L99</f>
        <v>3.4841187449811546</v>
      </c>
      <c r="M99" s="313"/>
      <c r="N99" s="320" t="s">
        <v>677</v>
      </c>
      <c r="O99" s="320" t="s">
        <v>676</v>
      </c>
      <c r="P99" s="321">
        <f>'App 7 - HH &amp; Capita'!P99</f>
        <v>3.9904315458631454</v>
      </c>
      <c r="Q99" s="322" t="s">
        <v>677</v>
      </c>
      <c r="R99" s="322" t="s">
        <v>676</v>
      </c>
      <c r="S99" s="323">
        <f>'App 7 - HH &amp; Capita'!S99</f>
        <v>5.7272421901242865</v>
      </c>
      <c r="T99" s="313"/>
      <c r="U99" s="324">
        <f t="shared" si="1"/>
        <v>23.666413277742048</v>
      </c>
      <c r="V99" s="327">
        <v>5</v>
      </c>
      <c r="W99" s="325">
        <f>'App 3 - Recycling Rate'!S99</f>
        <v>0.46250789045853902</v>
      </c>
      <c r="Y99"/>
      <c r="Z99"/>
    </row>
    <row r="100" spans="1:26" x14ac:dyDescent="0.2">
      <c r="A100" s="8">
        <v>16550</v>
      </c>
      <c r="B100" s="8" t="s">
        <v>66</v>
      </c>
      <c r="C100" s="8" t="s">
        <v>18</v>
      </c>
      <c r="D100" s="29" t="s">
        <v>3</v>
      </c>
      <c r="E100" s="328"/>
      <c r="F100" s="314" t="s">
        <v>675</v>
      </c>
      <c r="G100" s="315" t="s">
        <v>678</v>
      </c>
      <c r="H100" s="316">
        <f>'App 7 - HH &amp; Capita'!G100</f>
        <v>8.3727030317083067</v>
      </c>
      <c r="I100" s="328"/>
      <c r="J100" s="317" t="s">
        <v>677</v>
      </c>
      <c r="K100" s="318" t="s">
        <v>676</v>
      </c>
      <c r="L100" s="319">
        <f>'App 7 - HH &amp; Capita'!L100</f>
        <v>3.2090179238237488</v>
      </c>
      <c r="M100" s="328"/>
      <c r="N100" s="320" t="s">
        <v>677</v>
      </c>
      <c r="O100" s="320" t="s">
        <v>678</v>
      </c>
      <c r="P100" s="321">
        <f>'App 7 - HH &amp; Capita'!P100</f>
        <v>1.578294218011433</v>
      </c>
      <c r="Q100" s="322" t="s">
        <v>677</v>
      </c>
      <c r="R100" s="322" t="s">
        <v>678</v>
      </c>
      <c r="S100" s="323">
        <f>'App 7 - HH &amp; Capita'!S100</f>
        <v>1.3998139165665802</v>
      </c>
      <c r="T100" s="313"/>
      <c r="U100" s="324">
        <f t="shared" si="1"/>
        <v>14.559829090110069</v>
      </c>
      <c r="V100" s="157">
        <v>5</v>
      </c>
      <c r="W100" s="325">
        <f>'App 3 - Recycling Rate'!S100</f>
        <v>0.53336128855259834</v>
      </c>
      <c r="Y100"/>
      <c r="Z100"/>
    </row>
    <row r="101" spans="1:26" x14ac:dyDescent="0.2">
      <c r="A101" s="8">
        <v>16610</v>
      </c>
      <c r="B101" s="8" t="s">
        <v>154</v>
      </c>
      <c r="C101" s="8" t="s">
        <v>20</v>
      </c>
      <c r="D101" s="29" t="s">
        <v>4</v>
      </c>
      <c r="E101" s="313"/>
      <c r="F101" s="314" t="s">
        <v>677</v>
      </c>
      <c r="G101" s="315" t="s">
        <v>676</v>
      </c>
      <c r="H101" s="316">
        <f>'App 7 - HH &amp; Capita'!G101</f>
        <v>9.010145472113372</v>
      </c>
      <c r="I101" s="313"/>
      <c r="J101" s="317" t="s">
        <v>677</v>
      </c>
      <c r="K101" s="318" t="s">
        <v>676</v>
      </c>
      <c r="L101" s="319">
        <f>'App 7 - HH &amp; Capita'!L101</f>
        <v>3.9454613774222986</v>
      </c>
      <c r="M101" s="313"/>
      <c r="N101" s="320"/>
      <c r="O101" s="320"/>
      <c r="P101" s="321"/>
      <c r="Q101" s="322" t="s">
        <v>677</v>
      </c>
      <c r="R101" s="322" t="s">
        <v>678</v>
      </c>
      <c r="S101" s="323">
        <f>'App 7 - HH &amp; Capita'!S101</f>
        <v>8.9001019915185999</v>
      </c>
      <c r="T101" s="313"/>
      <c r="U101" s="324">
        <f t="shared" si="1"/>
        <v>21.85570884105427</v>
      </c>
      <c r="V101" s="157">
        <v>4</v>
      </c>
      <c r="W101" s="325">
        <f>'App 3 - Recycling Rate'!S101</f>
        <v>0.53913062904150133</v>
      </c>
      <c r="Y101"/>
      <c r="Z101"/>
    </row>
    <row r="102" spans="1:26" x14ac:dyDescent="0.2">
      <c r="A102" s="8">
        <v>16700</v>
      </c>
      <c r="B102" s="8" t="s">
        <v>67</v>
      </c>
      <c r="C102" s="8" t="s">
        <v>26</v>
      </c>
      <c r="D102" s="29" t="s">
        <v>3</v>
      </c>
      <c r="E102" s="313"/>
      <c r="F102" s="314" t="s">
        <v>675</v>
      </c>
      <c r="G102" s="315" t="s">
        <v>678</v>
      </c>
      <c r="H102" s="316">
        <f>'App 7 - HH &amp; Capita'!G102</f>
        <v>14.433473432867617</v>
      </c>
      <c r="I102" s="313"/>
      <c r="J102" s="317" t="s">
        <v>677</v>
      </c>
      <c r="K102" s="318" t="s">
        <v>676</v>
      </c>
      <c r="L102" s="319">
        <f>'App 7 - HH &amp; Capita'!L102</f>
        <v>4.3805538632549892</v>
      </c>
      <c r="M102" s="313"/>
      <c r="N102" s="320" t="s">
        <v>677</v>
      </c>
      <c r="O102" s="320" t="s">
        <v>676</v>
      </c>
      <c r="P102" s="321">
        <f>'App 7 - HH &amp; Capita'!P102</f>
        <v>6.7304928200633718</v>
      </c>
      <c r="Q102" s="322"/>
      <c r="R102" s="322"/>
      <c r="S102" s="323"/>
      <c r="T102" s="313"/>
      <c r="U102" s="324">
        <f t="shared" si="1"/>
        <v>25.544520116185979</v>
      </c>
      <c r="V102" s="157">
        <v>3</v>
      </c>
      <c r="W102" s="325">
        <f>'App 3 - Recycling Rate'!S102</f>
        <v>0.46618467314327472</v>
      </c>
      <c r="Y102"/>
      <c r="Z102"/>
    </row>
    <row r="103" spans="1:26" x14ac:dyDescent="0.2">
      <c r="A103" s="8">
        <v>16900</v>
      </c>
      <c r="B103" s="8" t="s">
        <v>155</v>
      </c>
      <c r="C103" s="8" t="s">
        <v>41</v>
      </c>
      <c r="D103" s="29" t="s">
        <v>2</v>
      </c>
      <c r="E103" s="313"/>
      <c r="F103" s="314" t="s">
        <v>677</v>
      </c>
      <c r="G103" s="315" t="s">
        <v>676</v>
      </c>
      <c r="H103" s="316">
        <f>'App 7 - HH &amp; Capita'!G103</f>
        <v>9.4199678663064947</v>
      </c>
      <c r="I103" s="313"/>
      <c r="J103" s="317" t="s">
        <v>677</v>
      </c>
      <c r="K103" s="318" t="s">
        <v>676</v>
      </c>
      <c r="L103" s="319">
        <f>'App 7 - HH &amp; Capita'!L103</f>
        <v>3.7687496808422005</v>
      </c>
      <c r="M103" s="313"/>
      <c r="N103" s="320"/>
      <c r="O103" s="320"/>
      <c r="P103" s="321"/>
      <c r="Q103" s="322" t="s">
        <v>677</v>
      </c>
      <c r="R103" s="322" t="s">
        <v>678</v>
      </c>
      <c r="S103" s="323">
        <f>'App 7 - HH &amp; Capita'!S103</f>
        <v>8.8134586492435627</v>
      </c>
      <c r="T103" s="313"/>
      <c r="U103" s="324">
        <f t="shared" si="1"/>
        <v>22.002176196392256</v>
      </c>
      <c r="V103" s="157">
        <v>4</v>
      </c>
      <c r="W103" s="325">
        <f>'App 3 - Recycling Rate'!S103</f>
        <v>0.52863864157517382</v>
      </c>
      <c r="Y103"/>
      <c r="Z103"/>
    </row>
    <row r="104" spans="1:26" x14ac:dyDescent="0.2">
      <c r="A104" s="8">
        <v>16950</v>
      </c>
      <c r="B104" s="8" t="s">
        <v>156</v>
      </c>
      <c r="C104" s="8" t="s">
        <v>41</v>
      </c>
      <c r="D104" s="29" t="s">
        <v>2</v>
      </c>
      <c r="E104" s="313"/>
      <c r="F104" s="314" t="s">
        <v>680</v>
      </c>
      <c r="G104" s="315" t="s">
        <v>678</v>
      </c>
      <c r="H104" s="316">
        <f>'App 7 - HH &amp; Capita'!G104</f>
        <v>11.257798673555122</v>
      </c>
      <c r="I104" s="313"/>
      <c r="J104" s="317" t="s">
        <v>677</v>
      </c>
      <c r="K104" s="318" t="s">
        <v>676</v>
      </c>
      <c r="L104" s="319">
        <f>'App 7 - HH &amp; Capita'!L104</f>
        <v>3.9713980833197646</v>
      </c>
      <c r="M104" s="313"/>
      <c r="N104" s="320"/>
      <c r="O104" s="320"/>
      <c r="P104" s="321"/>
      <c r="Q104" s="322"/>
      <c r="R104" s="322"/>
      <c r="S104" s="323"/>
      <c r="T104" s="313"/>
      <c r="U104" s="324">
        <f t="shared" si="1"/>
        <v>15.229196756874886</v>
      </c>
      <c r="V104" s="157">
        <v>2</v>
      </c>
      <c r="W104" s="325">
        <f>'App 3 - Recycling Rate'!S104</f>
        <v>0.47972780939798232</v>
      </c>
      <c r="Y104"/>
      <c r="Z104"/>
    </row>
    <row r="105" spans="1:26" x14ac:dyDescent="0.2">
      <c r="A105" s="8">
        <v>17000</v>
      </c>
      <c r="B105" s="8" t="s">
        <v>157</v>
      </c>
      <c r="C105" s="8" t="s">
        <v>25</v>
      </c>
      <c r="D105" s="29" t="s">
        <v>4</v>
      </c>
      <c r="E105" s="313"/>
      <c r="F105" s="314" t="s">
        <v>677</v>
      </c>
      <c r="G105" s="315" t="s">
        <v>678</v>
      </c>
      <c r="H105" s="316">
        <f>'App 7 - HH &amp; Capita'!G105</f>
        <v>13.440773252662318</v>
      </c>
      <c r="I105" s="313"/>
      <c r="J105" s="317" t="s">
        <v>677</v>
      </c>
      <c r="K105" s="318" t="s">
        <v>676</v>
      </c>
      <c r="L105" s="319">
        <f>'App 7 - HH &amp; Capita'!L105</f>
        <v>3.0765991448192458</v>
      </c>
      <c r="M105" s="313"/>
      <c r="N105" s="320" t="s">
        <v>677</v>
      </c>
      <c r="O105" s="320" t="s">
        <v>676</v>
      </c>
      <c r="P105" s="321">
        <f>'App 7 - HH &amp; Capita'!P105</f>
        <v>6.3169893780540969</v>
      </c>
      <c r="Q105" s="322"/>
      <c r="R105" s="322"/>
      <c r="S105" s="323"/>
      <c r="T105" s="313"/>
      <c r="U105" s="324">
        <f t="shared" si="1"/>
        <v>22.834361775535658</v>
      </c>
      <c r="V105" s="157">
        <v>3</v>
      </c>
      <c r="W105" s="325">
        <f>'App 3 - Recycling Rate'!S105</f>
        <v>0.39870017617370918</v>
      </c>
      <c r="Y105"/>
      <c r="Z105"/>
    </row>
    <row r="106" spans="1:26" x14ac:dyDescent="0.2">
      <c r="A106" s="8">
        <v>17040</v>
      </c>
      <c r="B106" s="8" t="s">
        <v>158</v>
      </c>
      <c r="C106" s="8" t="s">
        <v>74</v>
      </c>
      <c r="D106" s="29" t="s">
        <v>1</v>
      </c>
      <c r="E106" s="313"/>
      <c r="F106" s="314" t="s">
        <v>677</v>
      </c>
      <c r="G106" s="315" t="s">
        <v>678</v>
      </c>
      <c r="H106" s="316">
        <f>'App 7 - HH &amp; Capita'!G106</f>
        <v>8.7914159587855902</v>
      </c>
      <c r="I106" s="313"/>
      <c r="J106" s="317" t="s">
        <v>681</v>
      </c>
      <c r="K106" s="318" t="s">
        <v>676</v>
      </c>
      <c r="L106" s="319">
        <f>'App 7 - HH &amp; Capita'!L106</f>
        <v>3.4945885330397837</v>
      </c>
      <c r="M106" s="313"/>
      <c r="N106" s="320"/>
      <c r="O106" s="320"/>
      <c r="P106" s="321"/>
      <c r="Q106" s="322" t="s">
        <v>677</v>
      </c>
      <c r="R106" s="322" t="s">
        <v>676</v>
      </c>
      <c r="S106" s="323">
        <f>'App 7 - HH &amp; Capita'!S106</f>
        <v>3.2923911531506467</v>
      </c>
      <c r="T106" s="313"/>
      <c r="U106" s="324">
        <f t="shared" si="1"/>
        <v>15.57839564497602</v>
      </c>
      <c r="V106" s="157">
        <v>4</v>
      </c>
      <c r="W106" s="325">
        <f>'App 3 - Recycling Rate'!S106</f>
        <v>0.43202881449905134</v>
      </c>
      <c r="Y106"/>
      <c r="Z106"/>
    </row>
    <row r="107" spans="1:26" x14ac:dyDescent="0.2">
      <c r="A107" s="8">
        <v>17080</v>
      </c>
      <c r="B107" s="8" t="s">
        <v>159</v>
      </c>
      <c r="C107" s="8" t="s">
        <v>74</v>
      </c>
      <c r="D107" s="29" t="s">
        <v>1</v>
      </c>
      <c r="E107" s="313"/>
      <c r="F107" s="314" t="s">
        <v>680</v>
      </c>
      <c r="G107" s="315" t="s">
        <v>678</v>
      </c>
      <c r="H107" s="316">
        <f>'App 7 - HH &amp; Capita'!G107</f>
        <v>16.040723981900452</v>
      </c>
      <c r="I107" s="313"/>
      <c r="J107" s="317" t="s">
        <v>677</v>
      </c>
      <c r="K107" s="318" t="s">
        <v>676</v>
      </c>
      <c r="L107" s="319">
        <f>'App 7 - HH &amp; Capita'!L107</f>
        <v>17.798547606239914</v>
      </c>
      <c r="M107" s="313"/>
      <c r="N107" s="320"/>
      <c r="O107" s="320"/>
      <c r="P107" s="321"/>
      <c r="Q107" s="322"/>
      <c r="R107" s="322"/>
      <c r="S107" s="323"/>
      <c r="T107" s="313"/>
      <c r="U107" s="324">
        <f t="shared" si="1"/>
        <v>33.839271588140363</v>
      </c>
      <c r="V107" s="157">
        <v>2</v>
      </c>
      <c r="W107" s="325">
        <f>'App 3 - Recycling Rate'!S107</f>
        <v>0.41276036413166872</v>
      </c>
      <c r="Y107"/>
      <c r="Z107"/>
    </row>
    <row r="108" spans="1:26" x14ac:dyDescent="0.2">
      <c r="A108" s="8">
        <v>17100</v>
      </c>
      <c r="B108" s="8" t="s">
        <v>160</v>
      </c>
      <c r="C108" s="8"/>
      <c r="D108" s="29" t="s">
        <v>3</v>
      </c>
      <c r="E108" s="313"/>
      <c r="F108" s="314" t="s">
        <v>680</v>
      </c>
      <c r="G108" s="315" t="s">
        <v>678</v>
      </c>
      <c r="H108" s="316">
        <f>'App 7 - HH &amp; Capita'!G108</f>
        <v>12.453516456132952</v>
      </c>
      <c r="I108" s="313"/>
      <c r="J108" s="317" t="s">
        <v>677</v>
      </c>
      <c r="K108" s="318" t="s">
        <v>676</v>
      </c>
      <c r="L108" s="319">
        <f>'App 7 - HH &amp; Capita'!L108</f>
        <v>2.5921763882765627</v>
      </c>
      <c r="M108" s="313"/>
      <c r="N108" s="320" t="s">
        <v>677</v>
      </c>
      <c r="O108" s="320" t="s">
        <v>676</v>
      </c>
      <c r="P108" s="321">
        <f>'App 7 - HH &amp; Capita'!P108</f>
        <v>7.1542897836720876</v>
      </c>
      <c r="Q108" s="322"/>
      <c r="R108" s="322"/>
      <c r="S108" s="323"/>
      <c r="T108" s="313"/>
      <c r="U108" s="324">
        <f t="shared" si="1"/>
        <v>22.199982628081603</v>
      </c>
      <c r="V108" s="157">
        <v>3</v>
      </c>
      <c r="W108" s="325">
        <f>'App 3 - Recycling Rate'!S108</f>
        <v>0.31735489828314173</v>
      </c>
      <c r="Y108"/>
      <c r="Z108"/>
    </row>
    <row r="109" spans="1:26" x14ac:dyDescent="0.2">
      <c r="A109" s="8">
        <v>17150</v>
      </c>
      <c r="B109" s="8" t="s">
        <v>161</v>
      </c>
      <c r="C109" s="8" t="s">
        <v>18</v>
      </c>
      <c r="D109" s="29" t="s">
        <v>3</v>
      </c>
      <c r="E109" s="313"/>
      <c r="F109" s="314" t="s">
        <v>680</v>
      </c>
      <c r="G109" s="315" t="s">
        <v>678</v>
      </c>
      <c r="H109" s="316">
        <f>'App 7 - HH &amp; Capita'!G109</f>
        <v>11.590096650337614</v>
      </c>
      <c r="I109" s="313"/>
      <c r="J109" s="317" t="s">
        <v>677</v>
      </c>
      <c r="K109" s="318" t="s">
        <v>676</v>
      </c>
      <c r="L109" s="319">
        <f>'App 7 - HH &amp; Capita'!L109</f>
        <v>4.4677590262270988</v>
      </c>
      <c r="M109" s="313"/>
      <c r="N109" s="320" t="s">
        <v>677</v>
      </c>
      <c r="O109" s="320" t="s">
        <v>676</v>
      </c>
      <c r="P109" s="321">
        <f>'App 7 - HH &amp; Capita'!P109</f>
        <v>6.9900120764880347</v>
      </c>
      <c r="Q109" s="322"/>
      <c r="R109" s="322"/>
      <c r="S109" s="323"/>
      <c r="T109" s="313"/>
      <c r="U109" s="324">
        <f t="shared" si="1"/>
        <v>23.047867753052749</v>
      </c>
      <c r="V109" s="157">
        <v>3</v>
      </c>
      <c r="W109" s="325">
        <f>'App 3 - Recycling Rate'!S109</f>
        <v>0.49479044985194037</v>
      </c>
      <c r="Y109"/>
      <c r="Z109"/>
    </row>
    <row r="110" spans="1:26" x14ac:dyDescent="0.2">
      <c r="A110" s="8">
        <v>17200</v>
      </c>
      <c r="B110" s="8" t="s">
        <v>68</v>
      </c>
      <c r="C110" s="8" t="s">
        <v>18</v>
      </c>
      <c r="D110" s="29" t="s">
        <v>3</v>
      </c>
      <c r="E110" s="313"/>
      <c r="F110" s="314" t="s">
        <v>677</v>
      </c>
      <c r="G110" s="315" t="s">
        <v>678</v>
      </c>
      <c r="H110" s="316">
        <f>'App 7 - HH &amp; Capita'!G110</f>
        <v>22.83881173835621</v>
      </c>
      <c r="I110" s="313"/>
      <c r="J110" s="317" t="s">
        <v>680</v>
      </c>
      <c r="K110" s="318" t="s">
        <v>678</v>
      </c>
      <c r="L110" s="319">
        <f>'App 7 - HH &amp; Capita'!L110</f>
        <v>6.8067160876088062</v>
      </c>
      <c r="M110" s="313"/>
      <c r="N110" s="320" t="s">
        <v>680</v>
      </c>
      <c r="O110" s="320" t="s">
        <v>676</v>
      </c>
      <c r="P110" s="321">
        <f>'App 7 - HH &amp; Capita'!P110</f>
        <v>3.9719316827750566</v>
      </c>
      <c r="Q110" s="322"/>
      <c r="R110" s="322"/>
      <c r="S110" s="323"/>
      <c r="T110" s="313"/>
      <c r="U110" s="324">
        <f t="shared" si="1"/>
        <v>33.617459508740069</v>
      </c>
      <c r="V110" s="157">
        <v>3</v>
      </c>
      <c r="W110" s="325">
        <f>'App 3 - Recycling Rate'!S110</f>
        <v>0.46334694366605267</v>
      </c>
      <c r="Y110"/>
      <c r="Z110"/>
    </row>
    <row r="111" spans="1:26" x14ac:dyDescent="0.2">
      <c r="A111" s="8">
        <v>17310</v>
      </c>
      <c r="B111" s="8" t="s">
        <v>162</v>
      </c>
      <c r="C111" s="8" t="s">
        <v>17</v>
      </c>
      <c r="D111" s="29" t="s">
        <v>1</v>
      </c>
      <c r="E111" s="313"/>
      <c r="F111" s="314" t="s">
        <v>677</v>
      </c>
      <c r="G111" s="315" t="s">
        <v>678</v>
      </c>
      <c r="H111" s="316">
        <f>'App 7 - HH &amp; Capita'!G111</f>
        <v>10.766066957755584</v>
      </c>
      <c r="I111" s="313"/>
      <c r="J111" s="317" t="s">
        <v>677</v>
      </c>
      <c r="K111" s="318" t="s">
        <v>676</v>
      </c>
      <c r="L111" s="319">
        <f>'App 7 - HH &amp; Capita'!L111</f>
        <v>2.8057844141662631</v>
      </c>
      <c r="M111" s="313"/>
      <c r="N111" s="320" t="s">
        <v>677</v>
      </c>
      <c r="O111" s="320" t="s">
        <v>676</v>
      </c>
      <c r="P111" s="321">
        <f>'App 7 - HH &amp; Capita'!P111</f>
        <v>4.7575844426456175</v>
      </c>
      <c r="Q111" s="322"/>
      <c r="R111" s="322"/>
      <c r="S111" s="323"/>
      <c r="T111" s="313"/>
      <c r="U111" s="324">
        <f t="shared" si="1"/>
        <v>18.329435814567464</v>
      </c>
      <c r="V111" s="157">
        <v>3</v>
      </c>
      <c r="W111" s="325">
        <f>'App 3 - Recycling Rate'!S111</f>
        <v>0.50965886315430831</v>
      </c>
      <c r="Y111"/>
      <c r="Z111"/>
    </row>
    <row r="112" spans="1:26" x14ac:dyDescent="0.2">
      <c r="A112" s="8">
        <v>17350</v>
      </c>
      <c r="B112" s="8" t="s">
        <v>163</v>
      </c>
      <c r="C112" s="8" t="s">
        <v>22</v>
      </c>
      <c r="D112" s="29" t="s">
        <v>1</v>
      </c>
      <c r="E112" s="313"/>
      <c r="F112" s="314" t="s">
        <v>677</v>
      </c>
      <c r="G112" s="315" t="s">
        <v>678</v>
      </c>
      <c r="H112" s="316">
        <f>'App 7 - HH &amp; Capita'!G112</f>
        <v>17.15325033710684</v>
      </c>
      <c r="I112" s="313"/>
      <c r="J112" s="317"/>
      <c r="K112" s="318"/>
      <c r="L112" s="319"/>
      <c r="M112" s="313"/>
      <c r="N112" s="320"/>
      <c r="O112" s="320"/>
      <c r="P112" s="321"/>
      <c r="Q112" s="322"/>
      <c r="R112" s="322"/>
      <c r="S112" s="323"/>
      <c r="T112" s="313"/>
      <c r="U112" s="324">
        <f t="shared" si="1"/>
        <v>17.15325033710684</v>
      </c>
      <c r="V112" s="157">
        <v>1</v>
      </c>
      <c r="W112" s="325">
        <f>'App 3 - Recycling Rate'!S112</f>
        <v>0.31479007787390945</v>
      </c>
      <c r="Y112"/>
      <c r="Z112"/>
    </row>
    <row r="113" spans="1:26" x14ac:dyDescent="0.2">
      <c r="A113" s="8">
        <v>17400</v>
      </c>
      <c r="B113" s="8" t="s">
        <v>164</v>
      </c>
      <c r="C113" s="8" t="s">
        <v>17</v>
      </c>
      <c r="D113" s="29" t="s">
        <v>1</v>
      </c>
      <c r="E113" s="313"/>
      <c r="F113" s="314" t="s">
        <v>680</v>
      </c>
      <c r="G113" s="315" t="s">
        <v>678</v>
      </c>
      <c r="H113" s="316">
        <f>'App 7 - HH &amp; Capita'!G113</f>
        <v>9.0643906655142601</v>
      </c>
      <c r="I113" s="313"/>
      <c r="J113" s="317" t="s">
        <v>677</v>
      </c>
      <c r="K113" s="318" t="s">
        <v>676</v>
      </c>
      <c r="L113" s="319">
        <f>'App 7 - HH &amp; Capita'!L113</f>
        <v>4.1777188328912462</v>
      </c>
      <c r="M113" s="313"/>
      <c r="N113" s="320"/>
      <c r="O113" s="320"/>
      <c r="P113" s="321"/>
      <c r="Q113" s="322"/>
      <c r="R113" s="322"/>
      <c r="S113" s="323"/>
      <c r="T113" s="313"/>
      <c r="U113" s="324">
        <f t="shared" si="1"/>
        <v>13.242109498405506</v>
      </c>
      <c r="V113" s="157">
        <v>2</v>
      </c>
      <c r="W113" s="325">
        <f>'App 3 - Recycling Rate'!S113</f>
        <v>0.33066996102270635</v>
      </c>
      <c r="Y113"/>
      <c r="Z113"/>
    </row>
    <row r="114" spans="1:26" x14ac:dyDescent="0.2">
      <c r="A114" s="8">
        <v>17420</v>
      </c>
      <c r="B114" s="8" t="s">
        <v>165</v>
      </c>
      <c r="C114" s="8" t="s">
        <v>19</v>
      </c>
      <c r="D114" s="29" t="s">
        <v>3</v>
      </c>
      <c r="E114" s="313"/>
      <c r="F114" s="314" t="s">
        <v>675</v>
      </c>
      <c r="G114" s="315" t="s">
        <v>678</v>
      </c>
      <c r="H114" s="316">
        <f>'App 7 - HH &amp; Capita'!G114</f>
        <v>14.344939445175717</v>
      </c>
      <c r="I114" s="313"/>
      <c r="J114" s="317" t="s">
        <v>677</v>
      </c>
      <c r="K114" s="318" t="s">
        <v>676</v>
      </c>
      <c r="L114" s="319">
        <f>'App 7 - HH &amp; Capita'!L114</f>
        <v>4.3538574204996756</v>
      </c>
      <c r="M114" s="313"/>
      <c r="N114" s="320" t="s">
        <v>677</v>
      </c>
      <c r="O114" s="320" t="s">
        <v>676</v>
      </c>
      <c r="P114" s="321">
        <f>'App 7 - HH &amp; Capita'!P114</f>
        <v>6.8276206313463437</v>
      </c>
      <c r="Q114" s="322"/>
      <c r="R114" s="322"/>
      <c r="S114" s="323"/>
      <c r="T114" s="313"/>
      <c r="U114" s="324">
        <f t="shared" si="1"/>
        <v>25.526417497021733</v>
      </c>
      <c r="V114" s="157">
        <v>3</v>
      </c>
      <c r="W114" s="325">
        <f>'App 3 - Recycling Rate'!S114</f>
        <v>0.48370264925857476</v>
      </c>
      <c r="Y114"/>
      <c r="Z114"/>
    </row>
    <row r="115" spans="1:26" x14ac:dyDescent="0.2">
      <c r="A115" s="8">
        <v>17550</v>
      </c>
      <c r="B115" s="8" t="s">
        <v>166</v>
      </c>
      <c r="C115" s="8" t="s">
        <v>20</v>
      </c>
      <c r="D115" s="29" t="s">
        <v>4</v>
      </c>
      <c r="E115" s="313"/>
      <c r="F115" s="314" t="s">
        <v>675</v>
      </c>
      <c r="G115" s="315" t="s">
        <v>676</v>
      </c>
      <c r="H115" s="316">
        <f>'App 7 - HH &amp; Capita'!G115</f>
        <v>7.989646615898006</v>
      </c>
      <c r="I115" s="313"/>
      <c r="J115" s="317" t="s">
        <v>677</v>
      </c>
      <c r="K115" s="318" t="s">
        <v>676</v>
      </c>
      <c r="L115" s="319">
        <f>'App 7 - HH &amp; Capita'!L115</f>
        <v>4.1347164357442985</v>
      </c>
      <c r="M115" s="313"/>
      <c r="N115" s="320"/>
      <c r="O115" s="320"/>
      <c r="P115" s="321"/>
      <c r="Q115" s="322" t="s">
        <v>677</v>
      </c>
      <c r="R115" s="322" t="s">
        <v>678</v>
      </c>
      <c r="S115" s="323">
        <f>'App 7 - HH &amp; Capita'!S115</f>
        <v>9.1850582101278473</v>
      </c>
      <c r="T115" s="313"/>
      <c r="U115" s="324">
        <f t="shared" si="1"/>
        <v>21.309421261770154</v>
      </c>
      <c r="V115" s="157">
        <v>4</v>
      </c>
      <c r="W115" s="325">
        <f>'App 3 - Recycling Rate'!S115</f>
        <v>0.51602380907363254</v>
      </c>
      <c r="Y115"/>
      <c r="Z115"/>
    </row>
    <row r="116" spans="1:26" x14ac:dyDescent="0.2">
      <c r="A116" s="8">
        <v>17620</v>
      </c>
      <c r="B116" s="8" t="s">
        <v>167</v>
      </c>
      <c r="C116" s="8" t="s">
        <v>25</v>
      </c>
      <c r="D116" s="29" t="s">
        <v>4</v>
      </c>
      <c r="E116" s="313"/>
      <c r="F116" s="314" t="s">
        <v>677</v>
      </c>
      <c r="G116" s="315" t="s">
        <v>678</v>
      </c>
      <c r="H116" s="316">
        <f>'App 7 - HH &amp; Capita'!G116</f>
        <v>22.834708404109033</v>
      </c>
      <c r="I116" s="313"/>
      <c r="J116" s="317" t="s">
        <v>677</v>
      </c>
      <c r="K116" s="318" t="s">
        <v>676</v>
      </c>
      <c r="L116" s="319">
        <f>'App 7 - HH &amp; Capita'!L116</f>
        <v>3.205250850340136</v>
      </c>
      <c r="M116" s="313"/>
      <c r="N116" s="320"/>
      <c r="O116" s="320"/>
      <c r="P116" s="321"/>
      <c r="Q116" s="322"/>
      <c r="R116" s="322"/>
      <c r="S116" s="323"/>
      <c r="T116" s="313"/>
      <c r="U116" s="324">
        <f t="shared" si="1"/>
        <v>26.039959254449169</v>
      </c>
      <c r="V116" s="157">
        <v>2</v>
      </c>
      <c r="W116" s="325">
        <f>'App 3 - Recycling Rate'!S116</f>
        <v>0.20777511884549507</v>
      </c>
      <c r="Y116"/>
      <c r="Z116"/>
    </row>
    <row r="117" spans="1:26" x14ac:dyDescent="0.2">
      <c r="A117" s="8">
        <v>17640</v>
      </c>
      <c r="B117" s="8" t="s">
        <v>168</v>
      </c>
      <c r="C117" s="8" t="s">
        <v>74</v>
      </c>
      <c r="D117" s="29" t="s">
        <v>1</v>
      </c>
      <c r="E117" s="313"/>
      <c r="F117" s="314" t="s">
        <v>680</v>
      </c>
      <c r="G117" s="315" t="s">
        <v>678</v>
      </c>
      <c r="H117" s="316">
        <f>'App 7 - HH &amp; Capita'!G117</f>
        <v>15.959872321021432</v>
      </c>
      <c r="I117" s="313"/>
      <c r="J117" s="317" t="s">
        <v>677</v>
      </c>
      <c r="K117" s="318" t="s">
        <v>676</v>
      </c>
      <c r="L117" s="319">
        <f>'App 7 - HH &amp; Capita'!L117</f>
        <v>3.7005857799291451</v>
      </c>
      <c r="M117" s="313"/>
      <c r="N117" s="320" t="s">
        <v>677</v>
      </c>
      <c r="O117" s="320" t="s">
        <v>676</v>
      </c>
      <c r="P117" s="321">
        <f>'App 7 - HH &amp; Capita'!P117</f>
        <v>3.507664246378337</v>
      </c>
      <c r="Q117" s="322"/>
      <c r="R117" s="322"/>
      <c r="S117" s="323"/>
      <c r="T117" s="313"/>
      <c r="U117" s="324">
        <f t="shared" si="1"/>
        <v>23.168122347328914</v>
      </c>
      <c r="V117" s="157">
        <v>3</v>
      </c>
      <c r="W117" s="325">
        <f>'App 3 - Recycling Rate'!S117</f>
        <v>0.19383462145217506</v>
      </c>
      <c r="Y117"/>
      <c r="Z117"/>
    </row>
    <row r="118" spans="1:26" x14ac:dyDescent="0.2">
      <c r="A118" s="8">
        <v>17650</v>
      </c>
      <c r="B118" s="8" t="s">
        <v>169</v>
      </c>
      <c r="C118" s="8" t="s">
        <v>17</v>
      </c>
      <c r="D118" s="29" t="s">
        <v>1</v>
      </c>
      <c r="E118" s="313"/>
      <c r="F118" s="314" t="s">
        <v>675</v>
      </c>
      <c r="G118" s="315" t="s">
        <v>678</v>
      </c>
      <c r="H118" s="316">
        <f>'App 7 - HH &amp; Capita'!G118</f>
        <v>9.4700982650084438</v>
      </c>
      <c r="I118" s="313"/>
      <c r="J118" s="317" t="s">
        <v>677</v>
      </c>
      <c r="K118" s="318" t="s">
        <v>676</v>
      </c>
      <c r="L118" s="319">
        <f>'App 7 - HH &amp; Capita'!L118</f>
        <v>7.4724551383319158</v>
      </c>
      <c r="M118" s="313"/>
      <c r="N118" s="320" t="s">
        <v>677</v>
      </c>
      <c r="O118" s="320" t="s">
        <v>685</v>
      </c>
      <c r="P118" s="321">
        <f>'App 7 - HH &amp; Capita'!P118</f>
        <v>8.177933177933177</v>
      </c>
      <c r="Q118" s="322"/>
      <c r="R118" s="326"/>
      <c r="S118" s="323"/>
      <c r="T118" s="313"/>
      <c r="U118" s="324">
        <f t="shared" si="1"/>
        <v>25.120486581273536</v>
      </c>
      <c r="V118" s="157">
        <v>3</v>
      </c>
      <c r="W118" s="325">
        <f>'App 3 - Recycling Rate'!S118</f>
        <v>0.69373413482020874</v>
      </c>
      <c r="Y118"/>
      <c r="Z118"/>
    </row>
    <row r="119" spans="1:26" x14ac:dyDescent="0.2">
      <c r="A119" s="8">
        <v>17750</v>
      </c>
      <c r="B119" s="8" t="s">
        <v>170</v>
      </c>
      <c r="C119" s="8" t="s">
        <v>22</v>
      </c>
      <c r="D119" s="29" t="s">
        <v>1</v>
      </c>
      <c r="E119" s="313"/>
      <c r="F119" s="314" t="s">
        <v>680</v>
      </c>
      <c r="G119" s="315" t="s">
        <v>678</v>
      </c>
      <c r="H119" s="316">
        <f>'App 7 - HH &amp; Capita'!G119</f>
        <v>5.8035191759978151</v>
      </c>
      <c r="I119" s="313"/>
      <c r="J119" s="317" t="s">
        <v>677</v>
      </c>
      <c r="K119" s="318" t="s">
        <v>676</v>
      </c>
      <c r="L119" s="319">
        <f>'App 7 - HH &amp; Capita'!L119</f>
        <v>3.87076346851619</v>
      </c>
      <c r="M119" s="313"/>
      <c r="N119" s="320"/>
      <c r="O119" s="320"/>
      <c r="P119" s="321"/>
      <c r="Q119" s="322" t="s">
        <v>677</v>
      </c>
      <c r="R119" s="322" t="s">
        <v>678</v>
      </c>
      <c r="S119" s="323">
        <f>'App 7 - HH &amp; Capita'!S119</f>
        <v>10.197987413078513</v>
      </c>
      <c r="T119" s="313"/>
      <c r="U119" s="324">
        <f t="shared" si="1"/>
        <v>19.872270057592516</v>
      </c>
      <c r="V119" s="157">
        <v>4</v>
      </c>
      <c r="W119" s="325">
        <f>'App 3 - Recycling Rate'!S119</f>
        <v>0.52629999087143875</v>
      </c>
      <c r="Y119"/>
      <c r="Z119"/>
    </row>
    <row r="120" spans="1:26" x14ac:dyDescent="0.2">
      <c r="A120" s="8">
        <v>17850</v>
      </c>
      <c r="B120" s="8" t="s">
        <v>171</v>
      </c>
      <c r="C120" s="8" t="s">
        <v>17</v>
      </c>
      <c r="D120" s="29" t="s">
        <v>1</v>
      </c>
      <c r="E120" s="313"/>
      <c r="F120" s="314" t="s">
        <v>675</v>
      </c>
      <c r="G120" s="315" t="s">
        <v>678</v>
      </c>
      <c r="H120" s="316">
        <f>'App 7 - HH &amp; Capita'!G120</f>
        <v>10.703979119472077</v>
      </c>
      <c r="I120" s="313"/>
      <c r="J120" s="317" t="s">
        <v>677</v>
      </c>
      <c r="K120" s="318" t="s">
        <v>676</v>
      </c>
      <c r="L120" s="319">
        <f>'App 7 - HH &amp; Capita'!L120</f>
        <v>4.5349833652585945</v>
      </c>
      <c r="M120" s="313"/>
      <c r="N120" s="320" t="s">
        <v>677</v>
      </c>
      <c r="O120" s="320" t="s">
        <v>676</v>
      </c>
      <c r="P120" s="321">
        <f>'App 7 - HH &amp; Capita'!P120</f>
        <v>4.0616493598144974</v>
      </c>
      <c r="Q120" s="322"/>
      <c r="R120" s="322"/>
      <c r="S120" s="323"/>
      <c r="T120" s="313"/>
      <c r="U120" s="324">
        <f t="shared" si="1"/>
        <v>19.300611844545166</v>
      </c>
      <c r="V120" s="157">
        <v>3</v>
      </c>
      <c r="W120" s="325">
        <f>'App 3 - Recycling Rate'!S120</f>
        <v>0.449359608656554</v>
      </c>
      <c r="Y120"/>
      <c r="Z120"/>
    </row>
    <row r="121" spans="1:26" x14ac:dyDescent="0.2">
      <c r="A121" s="8">
        <v>17900</v>
      </c>
      <c r="B121" s="8" t="s">
        <v>172</v>
      </c>
      <c r="C121" s="8" t="s">
        <v>42</v>
      </c>
      <c r="D121" s="29" t="s">
        <v>1</v>
      </c>
      <c r="E121" s="313"/>
      <c r="F121" s="314" t="s">
        <v>677</v>
      </c>
      <c r="G121" s="315" t="s">
        <v>678</v>
      </c>
      <c r="H121" s="316">
        <f>'App 7 - HH &amp; Capita'!G121</f>
        <v>18.816799638717448</v>
      </c>
      <c r="I121" s="313"/>
      <c r="J121" s="317"/>
      <c r="K121" s="318"/>
      <c r="L121" s="319"/>
      <c r="M121" s="313"/>
      <c r="N121" s="320"/>
      <c r="O121" s="320"/>
      <c r="P121" s="321"/>
      <c r="Q121" s="322"/>
      <c r="R121" s="322"/>
      <c r="S121" s="323"/>
      <c r="T121" s="313"/>
      <c r="U121" s="324">
        <f t="shared" si="1"/>
        <v>18.816799638717448</v>
      </c>
      <c r="V121" s="157">
        <v>1</v>
      </c>
      <c r="W121" s="325">
        <f>'App 3 - Recycling Rate'!S121</f>
        <v>3.3825233922375096E-2</v>
      </c>
      <c r="Y121"/>
      <c r="Z121"/>
    </row>
    <row r="122" spans="1:26" x14ac:dyDescent="0.2">
      <c r="A122" s="8">
        <v>17950</v>
      </c>
      <c r="B122" s="8" t="s">
        <v>173</v>
      </c>
      <c r="C122" s="8" t="s">
        <v>42</v>
      </c>
      <c r="D122" s="29" t="s">
        <v>1</v>
      </c>
      <c r="E122" s="313"/>
      <c r="F122" s="314" t="s">
        <v>677</v>
      </c>
      <c r="G122" s="315" t="s">
        <v>678</v>
      </c>
      <c r="H122" s="316">
        <f>'App 7 - HH &amp; Capita'!G122</f>
        <v>14.979757085020243</v>
      </c>
      <c r="I122" s="313"/>
      <c r="J122" s="317"/>
      <c r="K122" s="318"/>
      <c r="L122" s="319"/>
      <c r="M122" s="313"/>
      <c r="N122" s="320"/>
      <c r="O122" s="320"/>
      <c r="P122" s="321"/>
      <c r="Q122" s="322"/>
      <c r="R122" s="322"/>
      <c r="S122" s="323"/>
      <c r="T122" s="313"/>
      <c r="U122" s="324">
        <f t="shared" si="1"/>
        <v>14.979757085020243</v>
      </c>
      <c r="V122" s="157">
        <v>1</v>
      </c>
      <c r="W122" s="325">
        <f>'App 3 - Recycling Rate'!S122</f>
        <v>8.8328775004429139E-3</v>
      </c>
      <c r="Y122"/>
      <c r="Z122"/>
    </row>
    <row r="123" spans="1:26" x14ac:dyDescent="0.2">
      <c r="A123" s="8">
        <v>18020</v>
      </c>
      <c r="B123" s="8" t="s">
        <v>174</v>
      </c>
      <c r="C123" s="8" t="s">
        <v>42</v>
      </c>
      <c r="D123" s="29" t="s">
        <v>1</v>
      </c>
      <c r="E123" s="313"/>
      <c r="F123" s="314" t="s">
        <v>677</v>
      </c>
      <c r="G123" s="315" t="s">
        <v>678</v>
      </c>
      <c r="H123" s="316">
        <f>'App 7 - HH &amp; Capita'!G123</f>
        <v>12.078446962167892</v>
      </c>
      <c r="I123" s="313"/>
      <c r="J123" s="317" t="s">
        <v>677</v>
      </c>
      <c r="K123" s="318" t="s">
        <v>676</v>
      </c>
      <c r="L123" s="319">
        <f>'App 7 - HH &amp; Capita'!L123</f>
        <v>1.2323593718942556</v>
      </c>
      <c r="M123" s="313"/>
      <c r="N123" s="320"/>
      <c r="O123" s="320"/>
      <c r="P123" s="321"/>
      <c r="Q123" s="322"/>
      <c r="R123" s="322"/>
      <c r="S123" s="323"/>
      <c r="T123" s="313"/>
      <c r="U123" s="324">
        <f t="shared" si="1"/>
        <v>13.310806334062146</v>
      </c>
      <c r="V123" s="157">
        <v>2</v>
      </c>
      <c r="W123" s="325">
        <f>'App 3 - Recycling Rate'!S123</f>
        <v>0.14178598368760362</v>
      </c>
      <c r="Y123"/>
      <c r="Z123"/>
    </row>
    <row r="124" spans="1:26" x14ac:dyDescent="0.2">
      <c r="A124" s="8">
        <v>18050</v>
      </c>
      <c r="B124" s="8" t="s">
        <v>69</v>
      </c>
      <c r="C124" s="8" t="s">
        <v>18</v>
      </c>
      <c r="D124" s="29" t="s">
        <v>3</v>
      </c>
      <c r="E124" s="313"/>
      <c r="F124" s="314" t="s">
        <v>677</v>
      </c>
      <c r="G124" s="315" t="s">
        <v>678</v>
      </c>
      <c r="H124" s="316">
        <f>'App 7 - HH &amp; Capita'!G124</f>
        <v>9.3652061935644024</v>
      </c>
      <c r="I124" s="313"/>
      <c r="J124" s="317" t="s">
        <v>675</v>
      </c>
      <c r="K124" s="318" t="s">
        <v>676</v>
      </c>
      <c r="L124" s="319">
        <f>'App 7 - HH &amp; Capita'!L124</f>
        <v>3.5741800714577483</v>
      </c>
      <c r="M124" s="313"/>
      <c r="N124" s="320" t="s">
        <v>675</v>
      </c>
      <c r="O124" s="320" t="s">
        <v>676</v>
      </c>
      <c r="P124" s="321">
        <f>'App 7 - HH &amp; Capita'!P124</f>
        <v>1.525105760180387</v>
      </c>
      <c r="Q124" s="322"/>
      <c r="R124" s="322"/>
      <c r="S124" s="323"/>
      <c r="T124" s="313"/>
      <c r="U124" s="324">
        <f t="shared" si="1"/>
        <v>14.464492025202539</v>
      </c>
      <c r="V124" s="157">
        <v>3</v>
      </c>
      <c r="W124" s="325">
        <f>'App 3 - Recycling Rate'!S124</f>
        <v>0.56584438434148432</v>
      </c>
      <c r="Y124"/>
      <c r="Z124"/>
    </row>
    <row r="125" spans="1:26" x14ac:dyDescent="0.2">
      <c r="A125" s="8">
        <v>18100</v>
      </c>
      <c r="B125" s="8" t="s">
        <v>175</v>
      </c>
      <c r="C125" s="8" t="s">
        <v>42</v>
      </c>
      <c r="D125" s="29" t="s">
        <v>1</v>
      </c>
      <c r="E125" s="313"/>
      <c r="F125" s="314" t="s">
        <v>677</v>
      </c>
      <c r="G125" s="315" t="s">
        <v>678</v>
      </c>
      <c r="H125" s="316">
        <f>'App 7 - HH &amp; Capita'!G125</f>
        <v>10.019533881180116</v>
      </c>
      <c r="I125" s="313"/>
      <c r="J125" s="317" t="s">
        <v>677</v>
      </c>
      <c r="K125" s="318" t="s">
        <v>676</v>
      </c>
      <c r="L125" s="319">
        <f>'App 7 - HH &amp; Capita'!L125</f>
        <v>1.7513604941903222</v>
      </c>
      <c r="M125" s="313"/>
      <c r="N125" s="320"/>
      <c r="O125" s="320"/>
      <c r="P125" s="321"/>
      <c r="Q125" s="322"/>
      <c r="R125" s="322"/>
      <c r="S125" s="323"/>
      <c r="T125" s="313"/>
      <c r="U125" s="324">
        <f t="shared" si="1"/>
        <v>11.770894375370439</v>
      </c>
      <c r="V125" s="157">
        <v>2</v>
      </c>
      <c r="W125" s="325">
        <f>'App 3 - Recycling Rate'!S125</f>
        <v>8.7577268562771898E-2</v>
      </c>
      <c r="Y125"/>
      <c r="Z125"/>
    </row>
    <row r="126" spans="1:26" x14ac:dyDescent="0.2">
      <c r="A126" s="8">
        <v>18200</v>
      </c>
      <c r="B126" s="8" t="s">
        <v>176</v>
      </c>
      <c r="C126" s="8" t="s">
        <v>73</v>
      </c>
      <c r="D126" s="29" t="s">
        <v>1</v>
      </c>
      <c r="E126" s="313"/>
      <c r="F126" s="314" t="s">
        <v>677</v>
      </c>
      <c r="G126" s="315" t="s">
        <v>678</v>
      </c>
      <c r="H126" s="316">
        <f>'App 7 - HH &amp; Capita'!G126</f>
        <v>17.912891456369717</v>
      </c>
      <c r="I126" s="313"/>
      <c r="J126" s="317"/>
      <c r="K126" s="318"/>
      <c r="L126" s="319"/>
      <c r="M126" s="313"/>
      <c r="N126" s="320"/>
      <c r="O126" s="320"/>
      <c r="P126" s="321"/>
      <c r="Q126" s="322"/>
      <c r="R126" s="326"/>
      <c r="S126" s="323"/>
      <c r="T126" s="313"/>
      <c r="U126" s="324">
        <f t="shared" si="1"/>
        <v>17.912891456369717</v>
      </c>
      <c r="V126" s="157">
        <v>1</v>
      </c>
      <c r="W126" s="325">
        <f>'App 3 - Recycling Rate'!S126</f>
        <v>0.26278551908426673</v>
      </c>
      <c r="Y126"/>
      <c r="Z126"/>
    </row>
    <row r="127" spans="1:26" x14ac:dyDescent="0.2">
      <c r="A127" s="8">
        <v>18250</v>
      </c>
      <c r="B127" s="8" t="s">
        <v>70</v>
      </c>
      <c r="C127" s="8" t="s">
        <v>26</v>
      </c>
      <c r="D127" s="29" t="s">
        <v>3</v>
      </c>
      <c r="E127" s="313"/>
      <c r="F127" s="314" t="s">
        <v>675</v>
      </c>
      <c r="G127" s="315" t="s">
        <v>678</v>
      </c>
      <c r="H127" s="316">
        <f>'App 7 - HH &amp; Capita'!G127</f>
        <v>9.6983115452958213</v>
      </c>
      <c r="I127" s="313"/>
      <c r="J127" s="317" t="s">
        <v>677</v>
      </c>
      <c r="K127" s="318" t="s">
        <v>678</v>
      </c>
      <c r="L127" s="319">
        <f>'App 7 - HH &amp; Capita'!L127</f>
        <v>3.6913627849300363</v>
      </c>
      <c r="M127" s="313"/>
      <c r="N127" s="320" t="s">
        <v>677</v>
      </c>
      <c r="O127" s="320" t="s">
        <v>678</v>
      </c>
      <c r="P127" s="321">
        <f>'App 7 - HH &amp; Capita'!P127</f>
        <v>10.052986845439676</v>
      </c>
      <c r="Q127" s="322"/>
      <c r="R127" s="322"/>
      <c r="S127" s="323"/>
      <c r="T127" s="313"/>
      <c r="U127" s="324">
        <f t="shared" si="1"/>
        <v>23.442661175665535</v>
      </c>
      <c r="V127" s="157">
        <v>3</v>
      </c>
      <c r="W127" s="325">
        <f>'App 3 - Recycling Rate'!S127</f>
        <v>0.50375803766451588</v>
      </c>
      <c r="Y127"/>
      <c r="Z127"/>
    </row>
    <row r="128" spans="1:26" x14ac:dyDescent="0.2">
      <c r="A128" s="8">
        <v>18350</v>
      </c>
      <c r="B128" s="8" t="s">
        <v>71</v>
      </c>
      <c r="C128" s="8" t="s">
        <v>74</v>
      </c>
      <c r="D128" s="29" t="s">
        <v>2</v>
      </c>
      <c r="E128" s="313"/>
      <c r="F128" s="314" t="s">
        <v>682</v>
      </c>
      <c r="G128" s="315" t="s">
        <v>678</v>
      </c>
      <c r="H128" s="316">
        <f>'App 7 - HH &amp; Capita'!G128</f>
        <v>8.2390441394292484</v>
      </c>
      <c r="I128" s="313"/>
      <c r="J128" s="317" t="s">
        <v>677</v>
      </c>
      <c r="K128" s="318" t="s">
        <v>676</v>
      </c>
      <c r="L128" s="319">
        <f>'App 7 - HH &amp; Capita'!L128</f>
        <v>4.4866989236693993</v>
      </c>
      <c r="M128" s="313"/>
      <c r="N128" s="320" t="s">
        <v>677</v>
      </c>
      <c r="O128" s="320" t="s">
        <v>676</v>
      </c>
      <c r="P128" s="321">
        <f>'App 7 - HH &amp; Capita'!P128</f>
        <v>7.1423872592629714</v>
      </c>
      <c r="Q128" s="322"/>
      <c r="R128" s="322"/>
      <c r="S128" s="323"/>
      <c r="T128" s="313"/>
      <c r="U128" s="324">
        <f t="shared" si="1"/>
        <v>19.868130322361619</v>
      </c>
      <c r="V128" s="157">
        <v>3</v>
      </c>
      <c r="W128" s="325">
        <f>'App 3 - Recycling Rate'!S128</f>
        <v>0.63083422721426352</v>
      </c>
      <c r="Y128"/>
      <c r="Z128"/>
    </row>
    <row r="129" spans="1:26" x14ac:dyDescent="0.2">
      <c r="A129" s="8">
        <v>18400</v>
      </c>
      <c r="B129" s="8" t="s">
        <v>177</v>
      </c>
      <c r="C129" s="8" t="s">
        <v>193</v>
      </c>
      <c r="D129" s="29" t="s">
        <v>4</v>
      </c>
      <c r="E129" s="313"/>
      <c r="F129" s="314" t="s">
        <v>680</v>
      </c>
      <c r="G129" s="315" t="s">
        <v>678</v>
      </c>
      <c r="H129" s="316">
        <f>'App 7 - HH &amp; Capita'!G129</f>
        <v>11.488147137864622</v>
      </c>
      <c r="I129" s="313"/>
      <c r="J129" s="317" t="s">
        <v>677</v>
      </c>
      <c r="K129" s="318" t="s">
        <v>676</v>
      </c>
      <c r="L129" s="319">
        <f>'App 7 - HH &amp; Capita'!L129</f>
        <v>5.4066594620169797</v>
      </c>
      <c r="M129" s="313"/>
      <c r="N129" s="320" t="s">
        <v>677</v>
      </c>
      <c r="O129" s="320" t="s">
        <v>676</v>
      </c>
      <c r="P129" s="321">
        <f>'App 7 - HH &amp; Capita'!P129</f>
        <v>9.5518274828619649</v>
      </c>
      <c r="Q129" s="322"/>
      <c r="R129" s="322"/>
      <c r="S129" s="323"/>
      <c r="T129" s="313"/>
      <c r="U129" s="324">
        <f t="shared" si="1"/>
        <v>26.446634082743564</v>
      </c>
      <c r="V129" s="157">
        <v>3</v>
      </c>
      <c r="W129" s="325">
        <f>'App 3 - Recycling Rate'!S129</f>
        <v>0.51566578078403635</v>
      </c>
      <c r="Y129"/>
      <c r="Z129"/>
    </row>
    <row r="130" spans="1:26" x14ac:dyDescent="0.2">
      <c r="A130" s="8">
        <v>18450</v>
      </c>
      <c r="B130" s="8" t="s">
        <v>178</v>
      </c>
      <c r="C130" s="8" t="s">
        <v>41</v>
      </c>
      <c r="D130" s="29" t="s">
        <v>2</v>
      </c>
      <c r="E130" s="313"/>
      <c r="F130" s="314" t="s">
        <v>680</v>
      </c>
      <c r="G130" s="315" t="s">
        <v>678</v>
      </c>
      <c r="H130" s="316">
        <f>'App 7 - HH &amp; Capita'!G130</f>
        <v>8.9208849188860118</v>
      </c>
      <c r="I130" s="313"/>
      <c r="J130" s="317" t="s">
        <v>677</v>
      </c>
      <c r="K130" s="318" t="s">
        <v>676</v>
      </c>
      <c r="L130" s="319">
        <f>'App 7 - HH &amp; Capita'!L130</f>
        <v>3.2265461362350272</v>
      </c>
      <c r="M130" s="313"/>
      <c r="N130" s="320" t="s">
        <v>677</v>
      </c>
      <c r="O130" s="320" t="s">
        <v>678</v>
      </c>
      <c r="P130" s="321">
        <f>'App 7 - HH &amp; Capita'!P130</f>
        <v>4.9073576505847765</v>
      </c>
      <c r="Q130" s="322" t="s">
        <v>677</v>
      </c>
      <c r="R130" s="322" t="s">
        <v>678</v>
      </c>
      <c r="S130" s="323">
        <f>'App 7 - HH &amp; Capita'!S130</f>
        <v>8.1583132701500691</v>
      </c>
      <c r="T130" s="313"/>
      <c r="U130" s="324">
        <f t="shared" si="1"/>
        <v>25.213101975855885</v>
      </c>
      <c r="V130" s="157">
        <v>5</v>
      </c>
      <c r="W130" s="325">
        <f>'App 3 - Recycling Rate'!S130</f>
        <v>0.51941676442920504</v>
      </c>
      <c r="Y130"/>
      <c r="Z130"/>
    </row>
    <row r="131" spans="1:26" x14ac:dyDescent="0.2">
      <c r="A131" s="8">
        <v>18500</v>
      </c>
      <c r="B131" s="8" t="s">
        <v>72</v>
      </c>
      <c r="C131" s="8" t="s">
        <v>18</v>
      </c>
      <c r="D131" s="29" t="s">
        <v>3</v>
      </c>
      <c r="E131" s="313"/>
      <c r="F131" s="314" t="s">
        <v>680</v>
      </c>
      <c r="G131" s="315" t="s">
        <v>678</v>
      </c>
      <c r="H131" s="316">
        <f>'App 7 - HH &amp; Capita'!G131</f>
        <v>8.0773820451624747</v>
      </c>
      <c r="I131" s="313"/>
      <c r="J131" s="317" t="s">
        <v>680</v>
      </c>
      <c r="K131" s="318" t="s">
        <v>678</v>
      </c>
      <c r="L131" s="319">
        <f>'App 7 - HH &amp; Capita'!L131</f>
        <v>10.678333321474566</v>
      </c>
      <c r="M131" s="313"/>
      <c r="N131" s="320"/>
      <c r="O131" s="320"/>
      <c r="P131" s="321"/>
      <c r="Q131" s="322" t="s">
        <v>677</v>
      </c>
      <c r="R131" s="322" t="s">
        <v>678</v>
      </c>
      <c r="S131" s="323">
        <f>'App 7 - HH &amp; Capita'!S131</f>
        <v>2.9814066866572833</v>
      </c>
      <c r="T131" s="313"/>
      <c r="U131" s="324">
        <f t="shared" si="1"/>
        <v>21.737122053294325</v>
      </c>
      <c r="V131" s="157">
        <v>4</v>
      </c>
      <c r="W131" s="325">
        <f>'App 3 - Recycling Rate'!S131</f>
        <v>0.53672611127205239</v>
      </c>
      <c r="Y131"/>
      <c r="Z131"/>
    </row>
    <row r="132" spans="1:26" x14ac:dyDescent="0.2">
      <c r="A132" s="8">
        <v>18710</v>
      </c>
      <c r="B132" s="8" t="s">
        <v>179</v>
      </c>
      <c r="C132" s="8" t="s">
        <v>74</v>
      </c>
      <c r="D132" s="29" t="s">
        <v>1</v>
      </c>
      <c r="E132" s="313"/>
      <c r="F132" s="314" t="s">
        <v>675</v>
      </c>
      <c r="G132" s="315" t="s">
        <v>678</v>
      </c>
      <c r="H132" s="316">
        <f>'App 7 - HH &amp; Capita'!G132</f>
        <v>9.1397488978661343</v>
      </c>
      <c r="I132" s="313"/>
      <c r="J132" s="317" t="s">
        <v>677</v>
      </c>
      <c r="K132" s="318" t="s">
        <v>676</v>
      </c>
      <c r="L132" s="319">
        <f>'App 7 - HH &amp; Capita'!L132</f>
        <v>3.2323080268285747</v>
      </c>
      <c r="M132" s="313"/>
      <c r="N132" s="320"/>
      <c r="O132" s="320"/>
      <c r="P132" s="321"/>
      <c r="Q132" s="322"/>
      <c r="R132" s="322"/>
      <c r="S132" s="323"/>
      <c r="T132" s="313"/>
      <c r="U132" s="324">
        <f t="shared" si="1"/>
        <v>12.372056924694709</v>
      </c>
      <c r="V132" s="157">
        <v>2</v>
      </c>
      <c r="W132" s="325">
        <f>'App 3 - Recycling Rate'!S132</f>
        <v>0.47302553094176913</v>
      </c>
      <c r="Y132"/>
      <c r="Z132"/>
    </row>
    <row r="133" spans="1:26" x14ac:dyDescent="0.2">
      <c r="O133" s="329"/>
      <c r="Q133" s="329"/>
      <c r="R133" s="329"/>
    </row>
    <row r="134" spans="1:26" s="153" customFormat="1" ht="11.25" x14ac:dyDescent="0.2">
      <c r="B134" s="153" t="s">
        <v>687</v>
      </c>
      <c r="E134" s="154"/>
      <c r="F134" s="157"/>
      <c r="G134" s="157"/>
      <c r="H134" s="330">
        <f>'App 7 - HH &amp; Capita'!G136</f>
        <v>11.63308090614389</v>
      </c>
      <c r="I134" s="154"/>
      <c r="J134" s="157"/>
      <c r="K134" s="157"/>
      <c r="L134" s="330">
        <f>'App 7 - HH &amp; Capita'!L136</f>
        <v>3.8161164357084179</v>
      </c>
      <c r="M134" s="154"/>
      <c r="N134" s="157"/>
      <c r="O134" s="157"/>
      <c r="P134" s="330">
        <f>'App 7 - HH &amp; Capita'!P136</f>
        <v>5.6527112639679009</v>
      </c>
      <c r="Q134" s="157"/>
      <c r="R134" s="157"/>
      <c r="S134" s="330">
        <f>'App 7 - HH &amp; Capita'!S136</f>
        <v>7.8275741544151121</v>
      </c>
      <c r="T134" s="154"/>
      <c r="U134" s="330">
        <f>AVERAGE(U5:U132)</f>
        <v>20.156093404170356</v>
      </c>
    </row>
    <row r="135" spans="1:26" s="153" customFormat="1" x14ac:dyDescent="0.2">
      <c r="E135" s="154"/>
      <c r="F135" s="157"/>
      <c r="G135" s="157" t="s">
        <v>688</v>
      </c>
      <c r="H135" s="331" t="s">
        <v>689</v>
      </c>
      <c r="I135" s="154"/>
      <c r="J135" s="157"/>
      <c r="K135" s="157" t="s">
        <v>690</v>
      </c>
      <c r="L135" s="331" t="s">
        <v>689</v>
      </c>
      <c r="M135" s="154"/>
      <c r="N135" s="157"/>
      <c r="O135" s="157" t="s">
        <v>691</v>
      </c>
      <c r="P135" s="331" t="s">
        <v>689</v>
      </c>
      <c r="R135" s="157" t="s">
        <v>666</v>
      </c>
      <c r="S135" s="331" t="s">
        <v>689</v>
      </c>
      <c r="T135" s="154"/>
      <c r="U135" s="331" t="s">
        <v>674</v>
      </c>
      <c r="V135" s="331" t="s">
        <v>692</v>
      </c>
      <c r="W135" s="331" t="s">
        <v>689</v>
      </c>
      <c r="X135" s="138"/>
      <c r="Y135" s="153" t="s">
        <v>693</v>
      </c>
    </row>
    <row r="136" spans="1:26" x14ac:dyDescent="0.2">
      <c r="F136" s="332" t="s">
        <v>678</v>
      </c>
      <c r="G136" s="331">
        <f>COUNTIF($G$5:$G$132, "Weekly")</f>
        <v>111</v>
      </c>
      <c r="H136" s="333">
        <f>SUMIF($G$5:$G$132, "Weekly", $H$5:$H$132) /G136</f>
        <v>12.812365367025922</v>
      </c>
      <c r="J136" s="332" t="s">
        <v>678</v>
      </c>
      <c r="K136" s="331">
        <f>COUNTIF($K$5:$K$132, "Weekly")</f>
        <v>11</v>
      </c>
      <c r="L136" s="333">
        <f>SUMIF($K$5:$K$132, "Weekly", $L$5:$L$132) /K136</f>
        <v>5.228149981086907</v>
      </c>
      <c r="N136" s="332" t="s">
        <v>678</v>
      </c>
      <c r="O136" s="331">
        <f>COUNTIF($O$5:$O$132, "Weekly")</f>
        <v>5</v>
      </c>
      <c r="P136" s="333">
        <f>SUMIF($O$5:$O$132, "Weekly", $P$5:$P$132) /O136</f>
        <v>8.4781374231119404</v>
      </c>
      <c r="Q136" s="332" t="s">
        <v>678</v>
      </c>
      <c r="R136" s="331">
        <f>COUNTIF($R$5:$R$132, "Weekly")</f>
        <v>30</v>
      </c>
      <c r="S136" s="333">
        <f>SUMIF($R$5:$R$132, "Weekly", $S$5:$S$132) /R136</f>
        <v>8.0770855861789332</v>
      </c>
      <c r="U136" s="334">
        <v>1</v>
      </c>
      <c r="V136" s="331">
        <f>COUNTIF($V$5:$V$132, "1")</f>
        <v>15</v>
      </c>
      <c r="W136" s="333">
        <f>SUMIF($V$5:$V$132, "1", $U$5:$U$132) /V136</f>
        <v>19.908207242042515</v>
      </c>
      <c r="X136" s="332" t="s">
        <v>688</v>
      </c>
      <c r="Y136" s="335">
        <f>SUMIF($V$5:$V$132, "1", $W$5:$W$132) /$V136</f>
        <v>0.20728198990753885</v>
      </c>
    </row>
    <row r="137" spans="1:26" x14ac:dyDescent="0.2">
      <c r="F137" s="332" t="s">
        <v>694</v>
      </c>
      <c r="G137" s="331">
        <f>COUNTIF($G$5:$G$132, "F/N")</f>
        <v>17</v>
      </c>
      <c r="H137" s="333">
        <f>SUMIF($G$5:$G$132, "F/N", $H$5:$H$132) /G137</f>
        <v>7.8412914081196812</v>
      </c>
      <c r="J137" s="332" t="s">
        <v>694</v>
      </c>
      <c r="K137" s="331">
        <f>COUNTIF($K$5:$K$132, "F/N")</f>
        <v>101</v>
      </c>
      <c r="L137" s="333">
        <f>SUMIF($K$5:$K$132, "F/N", $L$5:$L$132) /K137</f>
        <v>3.8836450799363167</v>
      </c>
      <c r="N137" s="332" t="s">
        <v>694</v>
      </c>
      <c r="O137" s="331">
        <f>COUNTIF($O$5:$O$132, "F/N")</f>
        <v>41</v>
      </c>
      <c r="P137" s="333">
        <f>SUMIF($O$5:$O$132, "F/N", $P$5:$P$132) /O137</f>
        <v>5.6148928475331203</v>
      </c>
      <c r="Q137" s="332" t="s">
        <v>694</v>
      </c>
      <c r="R137" s="331">
        <f>COUNTIF($R$5:$R$132, "F/N")</f>
        <v>11</v>
      </c>
      <c r="S137" s="333">
        <f>SUMIF($R$5:$R$132, "F/N", $S$5:$S$132) /R137</f>
        <v>4.4805504882103699</v>
      </c>
      <c r="U137" s="334">
        <v>2</v>
      </c>
      <c r="V137" s="331">
        <f>COUNTIF($V$5:$V$132, "2")</f>
        <v>28</v>
      </c>
      <c r="W137" s="333">
        <f>SUMIF($V$5:$V$132, "2", $U$5:$U$132) /V137</f>
        <v>17.07352165665953</v>
      </c>
      <c r="X137" s="332" t="s">
        <v>695</v>
      </c>
      <c r="Y137" s="335">
        <f>SUMIF($V$5:$V$132, "2", $W$5:$W$132) /$V137</f>
        <v>0.27993888297971081</v>
      </c>
    </row>
    <row r="138" spans="1:26" x14ac:dyDescent="0.2">
      <c r="G138" s="331">
        <f>SUM(G136:G137)</f>
        <v>128</v>
      </c>
      <c r="K138" s="331">
        <f>SUM(K136:K137)</f>
        <v>112</v>
      </c>
      <c r="N138" s="332" t="s">
        <v>685</v>
      </c>
      <c r="O138" s="331">
        <f>COUNTIF($O$5:$O$132, "Monthly")</f>
        <v>2</v>
      </c>
      <c r="P138" s="333">
        <f>SUMIF($O$5:$O$132, "Monthly", $P$5:$P$132) /O138</f>
        <v>5.273863185135081</v>
      </c>
      <c r="R138" s="331">
        <f>SUM(R136:R137)</f>
        <v>41</v>
      </c>
      <c r="U138" s="334">
        <v>3</v>
      </c>
      <c r="V138" s="331">
        <f>COUNTIF($V$5:$V$132, "3")</f>
        <v>44</v>
      </c>
      <c r="W138" s="333">
        <f>SUMIF($V$5:$V$132, "3", $U$5:$U$132) /V138</f>
        <v>21.775072614165733</v>
      </c>
      <c r="X138" s="332" t="s">
        <v>696</v>
      </c>
      <c r="Y138" s="335">
        <f>SUMIF($V$5:$V$132, "3", $W$5:$W$132) /$V138</f>
        <v>0.47041098176849427</v>
      </c>
    </row>
    <row r="139" spans="1:26" x14ac:dyDescent="0.2">
      <c r="M139" s="228"/>
      <c r="O139" s="331">
        <f>SUM(O136:O138)</f>
        <v>48</v>
      </c>
      <c r="U139" s="334">
        <v>4</v>
      </c>
      <c r="V139" s="331">
        <f>COUNTIF($V$5:$V$132, "4")</f>
        <v>37</v>
      </c>
      <c r="W139" s="333">
        <f>SUMIF($V$5:$V$132, "4", $U$5:$U$132) /V139</f>
        <v>20.537249819560319</v>
      </c>
      <c r="X139" s="332" t="s">
        <v>697</v>
      </c>
      <c r="Y139" s="335">
        <f>SUMIF($V$5:$V$132, "4", $W$5:$W$132) /$V139</f>
        <v>0.51917376119429204</v>
      </c>
    </row>
    <row r="140" spans="1:26" x14ac:dyDescent="0.2">
      <c r="U140" s="336">
        <v>5</v>
      </c>
      <c r="V140" s="331">
        <f>COUNTIF($V$5:$V$132, "5")</f>
        <v>4</v>
      </c>
      <c r="W140" s="333">
        <f>SUMIF($V$5:$V$132, "5", $U$5:$U$132) /V140</f>
        <v>21.329200592419205</v>
      </c>
      <c r="X140" s="332" t="s">
        <v>698</v>
      </c>
      <c r="Y140" s="335">
        <f>SUMIF($V$5:$V$132, "5", $W$5:$W$132) /$V140</f>
        <v>0.52955323569918344</v>
      </c>
    </row>
    <row r="141" spans="1:26" x14ac:dyDescent="0.2">
      <c r="V141" s="331">
        <f>SUM(V136:V140)</f>
        <v>128</v>
      </c>
    </row>
    <row r="142" spans="1:26" x14ac:dyDescent="0.2">
      <c r="T142" s="153"/>
      <c r="V142" s="138"/>
    </row>
    <row r="143" spans="1:26" x14ac:dyDescent="0.2"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153"/>
      <c r="V143" s="138"/>
    </row>
    <row r="144" spans="1:26" x14ac:dyDescent="0.2">
      <c r="C144" s="330" t="s">
        <v>794</v>
      </c>
      <c r="F144" s="330" t="s">
        <v>797</v>
      </c>
      <c r="G144" s="330" t="s">
        <v>796</v>
      </c>
      <c r="H144" s="330" t="s">
        <v>795</v>
      </c>
      <c r="I144" s="330"/>
      <c r="J144" s="330" t="s">
        <v>797</v>
      </c>
      <c r="K144" s="330" t="s">
        <v>796</v>
      </c>
      <c r="L144" s="330" t="s">
        <v>795</v>
      </c>
      <c r="M144" s="330"/>
      <c r="N144" s="330" t="s">
        <v>797</v>
      </c>
      <c r="O144" s="330" t="s">
        <v>796</v>
      </c>
      <c r="P144" s="330" t="s">
        <v>795</v>
      </c>
      <c r="Q144" s="330" t="s">
        <v>797</v>
      </c>
      <c r="R144" s="330" t="s">
        <v>796</v>
      </c>
      <c r="S144" s="330" t="s">
        <v>795</v>
      </c>
      <c r="T144" s="153"/>
      <c r="V144" s="138"/>
    </row>
    <row r="145" spans="3:22" x14ac:dyDescent="0.2">
      <c r="C145" s="296" t="s">
        <v>9</v>
      </c>
      <c r="F145" s="592">
        <v>1057327.4300000002</v>
      </c>
      <c r="G145" s="330">
        <v>12.395840709525004</v>
      </c>
      <c r="H145" s="330">
        <v>4.6465405283711227</v>
      </c>
      <c r="I145" s="330"/>
      <c r="J145" s="592">
        <v>307935.63999999996</v>
      </c>
      <c r="K145" s="330">
        <v>3.6856169473084557</v>
      </c>
      <c r="L145" s="330">
        <v>1.3813549078977869</v>
      </c>
      <c r="M145" s="330"/>
      <c r="N145" s="592">
        <v>289188.90000000002</v>
      </c>
      <c r="O145" s="330">
        <v>5.3964997093765135</v>
      </c>
      <c r="P145" s="330">
        <v>2.0236161357155238</v>
      </c>
      <c r="Q145" s="592">
        <v>48583.53</v>
      </c>
      <c r="R145" s="330">
        <v>6.1160409908626088</v>
      </c>
      <c r="S145" s="330">
        <v>2.3740726000694981</v>
      </c>
      <c r="T145" s="153"/>
      <c r="V145" s="138"/>
    </row>
    <row r="146" spans="3:22" x14ac:dyDescent="0.2">
      <c r="C146" s="296" t="s">
        <v>10</v>
      </c>
      <c r="F146" s="592">
        <v>341847.7</v>
      </c>
      <c r="G146" s="330">
        <v>11.438165700034505</v>
      </c>
      <c r="H146" s="330">
        <v>4.8216639333325819</v>
      </c>
      <c r="I146" s="330"/>
      <c r="J146" s="592">
        <v>117830.15</v>
      </c>
      <c r="K146" s="330">
        <v>4.000862376078004</v>
      </c>
      <c r="L146" s="330">
        <v>1.6878287666834089</v>
      </c>
      <c r="M146" s="330"/>
      <c r="N146" s="592">
        <v>98361.659999999989</v>
      </c>
      <c r="O146" s="330">
        <v>6.2709741930432878</v>
      </c>
      <c r="P146" s="330">
        <v>2.5477529456550831</v>
      </c>
      <c r="Q146" s="592">
        <v>80425.91</v>
      </c>
      <c r="R146" s="330">
        <v>8.8981636743506982</v>
      </c>
      <c r="S146" s="330">
        <v>3.721141506169511</v>
      </c>
      <c r="T146" s="153"/>
      <c r="V146" s="138"/>
    </row>
    <row r="147" spans="3:22" x14ac:dyDescent="0.2">
      <c r="C147" s="296" t="s">
        <v>11</v>
      </c>
      <c r="F147" s="592">
        <v>156097.65</v>
      </c>
      <c r="G147" s="330">
        <v>9.2286246340192211</v>
      </c>
      <c r="H147" s="330">
        <v>4.2306543919819211</v>
      </c>
      <c r="I147" s="330"/>
      <c r="J147" s="592">
        <v>70102.340000000011</v>
      </c>
      <c r="K147" s="330">
        <v>4.2628091619244248</v>
      </c>
      <c r="L147" s="330">
        <v>1.9592050252599871</v>
      </c>
      <c r="M147" s="330"/>
      <c r="N147" s="592">
        <v>32586.61</v>
      </c>
      <c r="O147" s="330">
        <v>6.5885041993699929</v>
      </c>
      <c r="P147" s="330">
        <v>3.1517663165446126</v>
      </c>
      <c r="Q147" s="592">
        <v>78844.73000000001</v>
      </c>
      <c r="R147" s="330">
        <v>8.7331229564123269</v>
      </c>
      <c r="S147" s="330">
        <v>3.9270377552826905</v>
      </c>
      <c r="T147" s="153"/>
      <c r="V147" s="138"/>
    </row>
    <row r="148" spans="3:22" x14ac:dyDescent="0.2">
      <c r="C148" s="296" t="s">
        <v>12</v>
      </c>
      <c r="F148" s="592">
        <v>223950.6</v>
      </c>
      <c r="G148" s="330">
        <v>10.742523952478406</v>
      </c>
      <c r="H148" s="330">
        <v>5.2763920941418068</v>
      </c>
      <c r="I148" s="330"/>
      <c r="J148" s="592">
        <v>67727.099999999991</v>
      </c>
      <c r="K148" s="330">
        <v>3.7128569577193113</v>
      </c>
      <c r="L148" s="330">
        <v>1.7851250385784643</v>
      </c>
      <c r="M148" s="330"/>
      <c r="N148" s="592">
        <v>20866.900000000001</v>
      </c>
      <c r="O148" s="330">
        <v>5.4957207601076243</v>
      </c>
      <c r="P148" s="330">
        <v>2.6919687673083144</v>
      </c>
      <c r="Q148" s="592">
        <v>70382.37</v>
      </c>
      <c r="R148" s="330">
        <v>7.3812093197686419</v>
      </c>
      <c r="S148" s="330">
        <v>3.4901366402855016</v>
      </c>
      <c r="T148" s="153"/>
      <c r="V148" s="138"/>
    </row>
    <row r="149" spans="3:22" x14ac:dyDescent="0.2">
      <c r="C149" s="330" t="s">
        <v>798</v>
      </c>
      <c r="F149" s="592">
        <v>1779223.3800000006</v>
      </c>
      <c r="G149" s="330">
        <v>11.63308090614389</v>
      </c>
      <c r="H149" s="330">
        <v>4.7095501225256351</v>
      </c>
      <c r="I149" s="330"/>
      <c r="J149" s="592">
        <v>563595.23000000021</v>
      </c>
      <c r="K149" s="330">
        <v>3.8161164357084179</v>
      </c>
      <c r="L149" s="330">
        <v>1.5379645521185876</v>
      </c>
      <c r="M149" s="330"/>
      <c r="N149" s="592">
        <v>441004.07000000007</v>
      </c>
      <c r="O149" s="330">
        <v>5.6527112639679009</v>
      </c>
      <c r="P149" s="330">
        <v>2.2093848594048531</v>
      </c>
      <c r="Q149" s="592">
        <v>278236.53999999998</v>
      </c>
      <c r="R149" s="330">
        <v>7.8275741544151121</v>
      </c>
      <c r="S149" s="330">
        <v>3.3799001626789438</v>
      </c>
      <c r="T149" s="153"/>
      <c r="V149" s="138"/>
    </row>
    <row r="150" spans="3:22" x14ac:dyDescent="0.2">
      <c r="F150" s="330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153"/>
      <c r="V150" s="138"/>
    </row>
    <row r="151" spans="3:22" x14ac:dyDescent="0.2"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153"/>
      <c r="V151" s="138"/>
    </row>
    <row r="152" spans="3:22" x14ac:dyDescent="0.2"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153"/>
      <c r="V152" s="138"/>
    </row>
    <row r="153" spans="3:22" x14ac:dyDescent="0.2">
      <c r="F153" s="330"/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153"/>
      <c r="V153" s="138"/>
    </row>
    <row r="154" spans="3:22" x14ac:dyDescent="0.2">
      <c r="F154" s="330"/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153"/>
      <c r="V154" s="138"/>
    </row>
    <row r="155" spans="3:22" x14ac:dyDescent="0.2"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153"/>
      <c r="V155" s="138"/>
    </row>
  </sheetData>
  <mergeCells count="4">
    <mergeCell ref="F3:H3"/>
    <mergeCell ref="J3:L3"/>
    <mergeCell ref="N3:P3"/>
    <mergeCell ref="Q3:S3"/>
  </mergeCells>
  <hyperlinks>
    <hyperlink ref="D63" location="'2009-10'!A160" display="Bottom" xr:uid="{DB60E6CA-01B9-4E17-AFE4-381D38099E1F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D6A0D-B848-4F66-864F-B8F2D3FD400C}">
  <dimension ref="A1:V145"/>
  <sheetViews>
    <sheetView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V3" sqref="V3"/>
    </sheetView>
  </sheetViews>
  <sheetFormatPr defaultColWidth="9.140625" defaultRowHeight="11.25" x14ac:dyDescent="0.2"/>
  <cols>
    <col min="1" max="1" width="5.28515625" style="294" bestFit="1" customWidth="1"/>
    <col min="2" max="2" width="26" style="294" bestFit="1" customWidth="1"/>
    <col min="3" max="3" width="15.42578125" style="294" bestFit="1" customWidth="1"/>
    <col min="4" max="4" width="3" style="294" bestFit="1" customWidth="1"/>
    <col min="5" max="6" width="5.140625" style="294" bestFit="1" customWidth="1"/>
    <col min="7" max="7" width="6.140625" style="294" bestFit="1" customWidth="1"/>
    <col min="8" max="10" width="5.140625" style="294" bestFit="1" customWidth="1"/>
    <col min="11" max="11" width="6.140625" style="294" bestFit="1" customWidth="1"/>
    <col min="12" max="13" width="6.28515625" style="294" bestFit="1" customWidth="1"/>
    <col min="14" max="16" width="6" style="294" bestFit="1" customWidth="1"/>
    <col min="17" max="17" width="9.140625" style="294"/>
    <col min="18" max="18" width="7.28515625" style="294" customWidth="1"/>
    <col min="19" max="19" width="7.28515625" style="294" bestFit="1" customWidth="1"/>
    <col min="20" max="21" width="6" style="294" bestFit="1" customWidth="1"/>
    <col min="22" max="22" width="36.5703125" style="294" bestFit="1" customWidth="1"/>
    <col min="23" max="16384" width="9.140625" style="294"/>
  </cols>
  <sheetData>
    <row r="1" spans="1:22" s="292" customFormat="1" ht="12.75" x14ac:dyDescent="0.2">
      <c r="B1" s="293" t="s">
        <v>799</v>
      </c>
      <c r="E1" s="716" t="s">
        <v>638</v>
      </c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</row>
    <row r="2" spans="1:22" ht="15.75" x14ac:dyDescent="0.25">
      <c r="B2" s="239" t="s">
        <v>181</v>
      </c>
      <c r="E2" s="294" t="s">
        <v>639</v>
      </c>
      <c r="F2" s="294" t="s">
        <v>640</v>
      </c>
      <c r="G2" s="294" t="s">
        <v>641</v>
      </c>
      <c r="H2" s="294" t="s">
        <v>642</v>
      </c>
      <c r="I2" s="294" t="s">
        <v>643</v>
      </c>
      <c r="J2" s="294" t="s">
        <v>644</v>
      </c>
      <c r="K2" s="294" t="s">
        <v>645</v>
      </c>
      <c r="L2" s="294" t="s">
        <v>646</v>
      </c>
      <c r="M2" s="294" t="s">
        <v>647</v>
      </c>
      <c r="N2" s="294" t="s">
        <v>648</v>
      </c>
      <c r="O2" s="294" t="s">
        <v>649</v>
      </c>
      <c r="P2" s="294" t="s">
        <v>650</v>
      </c>
      <c r="Q2" s="294" t="s">
        <v>651</v>
      </c>
      <c r="R2" s="294" t="s">
        <v>652</v>
      </c>
      <c r="S2" s="294" t="s">
        <v>653</v>
      </c>
      <c r="T2" s="294" t="s">
        <v>654</v>
      </c>
      <c r="U2" s="294" t="s">
        <v>655</v>
      </c>
      <c r="V2" s="294" t="s">
        <v>656</v>
      </c>
    </row>
    <row r="3" spans="1:22" ht="45" x14ac:dyDescent="0.2">
      <c r="A3" s="32" t="s">
        <v>48</v>
      </c>
      <c r="B3" s="33" t="s">
        <v>6</v>
      </c>
      <c r="C3" s="32" t="s">
        <v>15</v>
      </c>
      <c r="D3" s="34" t="s">
        <v>5</v>
      </c>
      <c r="E3" s="245" t="s">
        <v>589</v>
      </c>
      <c r="F3" s="245" t="s">
        <v>590</v>
      </c>
      <c r="G3" s="245" t="s">
        <v>591</v>
      </c>
      <c r="H3" s="245" t="s">
        <v>592</v>
      </c>
      <c r="I3" s="245" t="s">
        <v>593</v>
      </c>
      <c r="J3" s="245" t="s">
        <v>594</v>
      </c>
      <c r="K3" s="245" t="s">
        <v>595</v>
      </c>
      <c r="L3" s="245" t="s">
        <v>596</v>
      </c>
      <c r="M3" s="245" t="s">
        <v>597</v>
      </c>
      <c r="N3" s="245" t="s">
        <v>598</v>
      </c>
      <c r="O3" s="245" t="s">
        <v>599</v>
      </c>
      <c r="P3" s="245" t="s">
        <v>600</v>
      </c>
      <c r="Q3" s="245" t="s">
        <v>601</v>
      </c>
      <c r="R3" s="245" t="s">
        <v>602</v>
      </c>
      <c r="S3" s="245" t="s">
        <v>603</v>
      </c>
      <c r="T3" s="245" t="s">
        <v>604</v>
      </c>
      <c r="U3" s="245" t="s">
        <v>605</v>
      </c>
      <c r="V3" s="245" t="s">
        <v>606</v>
      </c>
    </row>
    <row r="4" spans="1:22" x14ac:dyDescent="0.2">
      <c r="A4" s="9">
        <v>10050</v>
      </c>
      <c r="B4" s="9" t="s">
        <v>78</v>
      </c>
      <c r="C4" s="9" t="s">
        <v>73</v>
      </c>
      <c r="D4" s="29" t="s">
        <v>1</v>
      </c>
      <c r="E4" s="294">
        <v>1</v>
      </c>
      <c r="F4" s="294">
        <v>1</v>
      </c>
      <c r="G4" s="294">
        <v>1</v>
      </c>
      <c r="H4" s="294">
        <v>1</v>
      </c>
      <c r="I4" s="294">
        <v>1</v>
      </c>
      <c r="J4" s="294">
        <v>1</v>
      </c>
      <c r="K4" s="294">
        <v>1</v>
      </c>
      <c r="L4" s="294">
        <v>1</v>
      </c>
      <c r="M4" s="294">
        <v>1</v>
      </c>
      <c r="O4" s="294">
        <v>1</v>
      </c>
      <c r="P4" s="294">
        <v>1</v>
      </c>
    </row>
    <row r="5" spans="1:22" x14ac:dyDescent="0.2">
      <c r="A5" s="8">
        <v>10130</v>
      </c>
      <c r="B5" s="8" t="s">
        <v>79</v>
      </c>
      <c r="C5" s="8" t="s">
        <v>17</v>
      </c>
      <c r="D5" s="29" t="s">
        <v>1</v>
      </c>
      <c r="E5" s="294">
        <v>1</v>
      </c>
      <c r="F5" s="294">
        <v>1</v>
      </c>
      <c r="G5" s="294">
        <v>1</v>
      </c>
      <c r="H5" s="294">
        <v>1</v>
      </c>
      <c r="I5" s="294">
        <v>1</v>
      </c>
      <c r="J5" s="294">
        <v>1</v>
      </c>
      <c r="K5" s="294">
        <v>1</v>
      </c>
      <c r="L5" s="294">
        <v>1</v>
      </c>
      <c r="M5" s="294">
        <v>1</v>
      </c>
      <c r="N5" s="294">
        <v>1</v>
      </c>
      <c r="O5" s="294">
        <v>1</v>
      </c>
      <c r="Q5" s="294">
        <v>1</v>
      </c>
      <c r="U5" s="294">
        <v>1</v>
      </c>
      <c r="V5" s="294" t="s">
        <v>657</v>
      </c>
    </row>
    <row r="6" spans="1:22" x14ac:dyDescent="0.2">
      <c r="A6" s="8">
        <v>10250</v>
      </c>
      <c r="B6" s="8" t="s">
        <v>80</v>
      </c>
      <c r="C6" s="8" t="s">
        <v>20</v>
      </c>
      <c r="D6" s="29" t="s">
        <v>4</v>
      </c>
      <c r="E6" s="294">
        <v>1</v>
      </c>
      <c r="F6" s="294">
        <v>1</v>
      </c>
      <c r="G6" s="294">
        <v>1</v>
      </c>
      <c r="H6" s="294">
        <v>1</v>
      </c>
      <c r="I6" s="294">
        <v>1</v>
      </c>
      <c r="J6" s="294">
        <v>1</v>
      </c>
      <c r="K6" s="294">
        <v>1</v>
      </c>
      <c r="L6" s="294">
        <v>1</v>
      </c>
      <c r="M6" s="294">
        <v>1</v>
      </c>
      <c r="O6" s="294">
        <v>1</v>
      </c>
      <c r="P6" s="294">
        <v>1</v>
      </c>
    </row>
    <row r="7" spans="1:22" x14ac:dyDescent="0.2">
      <c r="A7" s="8">
        <v>10300</v>
      </c>
      <c r="B7" s="8" t="s">
        <v>81</v>
      </c>
      <c r="C7" s="8" t="s">
        <v>73</v>
      </c>
      <c r="D7" s="29" t="s">
        <v>1</v>
      </c>
    </row>
    <row r="8" spans="1:22" x14ac:dyDescent="0.2">
      <c r="A8" s="8">
        <v>10470</v>
      </c>
      <c r="B8" s="8" t="s">
        <v>82</v>
      </c>
      <c r="C8" s="8" t="s">
        <v>42</v>
      </c>
      <c r="D8" s="29" t="s">
        <v>1</v>
      </c>
      <c r="E8" s="294">
        <v>1</v>
      </c>
      <c r="F8" s="294">
        <v>1</v>
      </c>
      <c r="G8" s="294">
        <v>1</v>
      </c>
      <c r="H8" s="294">
        <v>1</v>
      </c>
      <c r="I8" s="294">
        <v>1</v>
      </c>
      <c r="J8" s="294">
        <v>1</v>
      </c>
      <c r="K8" s="294">
        <v>1</v>
      </c>
      <c r="L8" s="294">
        <v>1</v>
      </c>
      <c r="M8" s="294">
        <v>1</v>
      </c>
      <c r="N8" s="294">
        <v>1</v>
      </c>
      <c r="O8" s="294">
        <v>1</v>
      </c>
      <c r="P8" s="294">
        <v>1</v>
      </c>
    </row>
    <row r="9" spans="1:22" x14ac:dyDescent="0.2">
      <c r="A9" s="8">
        <v>10500</v>
      </c>
      <c r="B9" s="8" t="s">
        <v>23</v>
      </c>
      <c r="C9" s="8" t="s">
        <v>18</v>
      </c>
      <c r="D9" s="29" t="s">
        <v>3</v>
      </c>
      <c r="E9" s="294">
        <v>1</v>
      </c>
      <c r="F9" s="294">
        <v>1</v>
      </c>
      <c r="G9" s="294">
        <v>1</v>
      </c>
      <c r="H9" s="294">
        <v>1</v>
      </c>
      <c r="J9" s="294">
        <v>1</v>
      </c>
      <c r="K9" s="294">
        <v>1</v>
      </c>
      <c r="L9" s="294">
        <v>1</v>
      </c>
      <c r="M9" s="294">
        <v>1</v>
      </c>
      <c r="N9" s="294">
        <v>1</v>
      </c>
      <c r="O9" s="294">
        <v>1</v>
      </c>
      <c r="U9" s="294">
        <v>1</v>
      </c>
      <c r="V9" s="294" t="s">
        <v>658</v>
      </c>
    </row>
    <row r="10" spans="1:22" x14ac:dyDescent="0.2">
      <c r="A10" s="8">
        <v>10550</v>
      </c>
      <c r="B10" s="8" t="s">
        <v>83</v>
      </c>
      <c r="C10" s="8" t="s">
        <v>74</v>
      </c>
      <c r="D10" s="29" t="s">
        <v>1</v>
      </c>
      <c r="E10" s="294">
        <v>1</v>
      </c>
      <c r="F10" s="294">
        <v>1</v>
      </c>
      <c r="G10" s="294">
        <v>1</v>
      </c>
      <c r="H10" s="294">
        <v>1</v>
      </c>
      <c r="I10" s="294">
        <v>1</v>
      </c>
      <c r="J10" s="294">
        <v>1</v>
      </c>
      <c r="K10" s="294">
        <v>1</v>
      </c>
      <c r="L10" s="294">
        <v>1</v>
      </c>
      <c r="M10" s="294">
        <v>1</v>
      </c>
      <c r="O10" s="294">
        <v>1</v>
      </c>
      <c r="P10" s="294">
        <v>1</v>
      </c>
    </row>
    <row r="11" spans="1:22" x14ac:dyDescent="0.2">
      <c r="A11" s="8">
        <v>10600</v>
      </c>
      <c r="B11" s="8" t="s">
        <v>51</v>
      </c>
      <c r="C11" s="8" t="s">
        <v>43</v>
      </c>
      <c r="D11" s="29" t="s">
        <v>4</v>
      </c>
      <c r="E11" s="294">
        <v>1</v>
      </c>
      <c r="F11" s="294">
        <v>1</v>
      </c>
      <c r="G11" s="294">
        <v>1</v>
      </c>
      <c r="H11" s="294">
        <v>1</v>
      </c>
      <c r="I11" s="294">
        <v>1</v>
      </c>
      <c r="J11" s="294">
        <v>1</v>
      </c>
      <c r="K11" s="294">
        <v>1</v>
      </c>
      <c r="L11" s="294">
        <v>1</v>
      </c>
      <c r="M11" s="294">
        <v>1</v>
      </c>
      <c r="N11" s="294">
        <v>1</v>
      </c>
      <c r="O11" s="294">
        <v>1</v>
      </c>
      <c r="P11" s="294">
        <v>1</v>
      </c>
    </row>
    <row r="12" spans="1:22" x14ac:dyDescent="0.2">
      <c r="A12" s="8">
        <v>10650</v>
      </c>
      <c r="B12" s="8" t="s">
        <v>84</v>
      </c>
      <c r="C12" s="8" t="s">
        <v>73</v>
      </c>
      <c r="D12" s="29" t="s">
        <v>1</v>
      </c>
      <c r="E12" s="294">
        <v>1</v>
      </c>
      <c r="F12" s="294">
        <v>1</v>
      </c>
      <c r="H12" s="294">
        <v>1</v>
      </c>
      <c r="I12" s="294">
        <v>1</v>
      </c>
      <c r="J12" s="294">
        <v>1</v>
      </c>
      <c r="K12" s="294">
        <v>1</v>
      </c>
      <c r="P12" s="294">
        <v>1</v>
      </c>
    </row>
    <row r="13" spans="1:22" x14ac:dyDescent="0.2">
      <c r="A13" s="8">
        <v>10750</v>
      </c>
      <c r="B13" s="8" t="s">
        <v>52</v>
      </c>
      <c r="C13" s="8" t="s">
        <v>19</v>
      </c>
      <c r="D13" s="29" t="s">
        <v>3</v>
      </c>
      <c r="E13" s="294">
        <v>1</v>
      </c>
      <c r="F13" s="294">
        <v>1</v>
      </c>
      <c r="G13" s="294">
        <v>1</v>
      </c>
      <c r="H13" s="294">
        <v>1</v>
      </c>
      <c r="I13" s="294">
        <v>1</v>
      </c>
      <c r="J13" s="294">
        <v>1</v>
      </c>
      <c r="K13" s="294">
        <v>1</v>
      </c>
      <c r="L13" s="294">
        <v>1</v>
      </c>
      <c r="M13" s="294">
        <v>1</v>
      </c>
      <c r="N13" s="294">
        <v>1</v>
      </c>
      <c r="O13" s="294">
        <v>1</v>
      </c>
      <c r="P13" s="294">
        <v>1</v>
      </c>
    </row>
    <row r="14" spans="1:22" x14ac:dyDescent="0.2">
      <c r="A14" s="8">
        <v>10800</v>
      </c>
      <c r="B14" s="8" t="s">
        <v>85</v>
      </c>
      <c r="C14" s="8" t="s">
        <v>22</v>
      </c>
      <c r="D14" s="29" t="s">
        <v>1</v>
      </c>
    </row>
    <row r="15" spans="1:22" x14ac:dyDescent="0.2">
      <c r="A15" s="8">
        <v>10850</v>
      </c>
      <c r="B15" s="8" t="s">
        <v>86</v>
      </c>
      <c r="C15" s="8" t="s">
        <v>42</v>
      </c>
      <c r="D15" s="29" t="s">
        <v>1</v>
      </c>
      <c r="E15" s="294">
        <v>1</v>
      </c>
      <c r="F15" s="294">
        <v>1</v>
      </c>
      <c r="H15" s="294">
        <v>1</v>
      </c>
      <c r="I15" s="294">
        <v>1</v>
      </c>
      <c r="J15" s="294">
        <v>1</v>
      </c>
      <c r="K15" s="294">
        <v>1</v>
      </c>
      <c r="O15" s="294">
        <v>1</v>
      </c>
    </row>
    <row r="16" spans="1:22" x14ac:dyDescent="0.2">
      <c r="A16" s="8">
        <v>10900</v>
      </c>
      <c r="B16" s="8" t="s">
        <v>87</v>
      </c>
      <c r="C16" s="8" t="s">
        <v>19</v>
      </c>
      <c r="D16" s="29" t="s">
        <v>4</v>
      </c>
      <c r="E16" s="294">
        <v>1</v>
      </c>
      <c r="F16" s="294">
        <v>1</v>
      </c>
      <c r="G16" s="294">
        <v>1</v>
      </c>
      <c r="H16" s="294">
        <v>1</v>
      </c>
      <c r="I16" s="294">
        <v>1</v>
      </c>
      <c r="J16" s="294">
        <v>1</v>
      </c>
      <c r="K16" s="294">
        <v>1</v>
      </c>
      <c r="L16" s="294">
        <v>1</v>
      </c>
      <c r="M16" s="294">
        <v>1</v>
      </c>
      <c r="N16" s="294">
        <v>1</v>
      </c>
      <c r="O16" s="294">
        <v>1</v>
      </c>
    </row>
    <row r="17" spans="1:17" x14ac:dyDescent="0.2">
      <c r="A17" s="8">
        <v>10950</v>
      </c>
      <c r="B17" s="8" t="s">
        <v>88</v>
      </c>
      <c r="C17" s="8" t="s">
        <v>42</v>
      </c>
      <c r="D17" s="29" t="s">
        <v>1</v>
      </c>
      <c r="E17" s="294">
        <v>1</v>
      </c>
      <c r="F17" s="294">
        <v>1</v>
      </c>
      <c r="H17" s="294">
        <v>1</v>
      </c>
      <c r="I17" s="294">
        <v>1</v>
      </c>
      <c r="J17" s="294">
        <v>1</v>
      </c>
      <c r="K17" s="294">
        <v>1</v>
      </c>
      <c r="L17" s="294">
        <v>1</v>
      </c>
      <c r="M17" s="294">
        <v>1</v>
      </c>
      <c r="N17" s="294">
        <v>1</v>
      </c>
      <c r="O17" s="294">
        <v>1</v>
      </c>
    </row>
    <row r="18" spans="1:17" x14ac:dyDescent="0.2">
      <c r="A18" s="8">
        <v>11150</v>
      </c>
      <c r="B18" s="8" t="s">
        <v>89</v>
      </c>
      <c r="C18" s="8" t="s">
        <v>42</v>
      </c>
      <c r="D18" s="29" t="s">
        <v>1</v>
      </c>
    </row>
    <row r="19" spans="1:17" x14ac:dyDescent="0.2">
      <c r="A19" s="8">
        <v>11200</v>
      </c>
      <c r="B19" s="8" t="s">
        <v>90</v>
      </c>
      <c r="C19" s="8" t="s">
        <v>42</v>
      </c>
      <c r="D19" s="29" t="s">
        <v>1</v>
      </c>
    </row>
    <row r="20" spans="1:17" x14ac:dyDescent="0.2">
      <c r="A20" s="8">
        <v>11250</v>
      </c>
      <c r="B20" s="8" t="s">
        <v>91</v>
      </c>
      <c r="C20" s="8" t="s">
        <v>42</v>
      </c>
      <c r="D20" s="29" t="s">
        <v>1</v>
      </c>
    </row>
    <row r="21" spans="1:17" x14ac:dyDescent="0.2">
      <c r="A21" s="8">
        <v>11300</v>
      </c>
      <c r="B21" s="8" t="s">
        <v>92</v>
      </c>
      <c r="C21" s="8" t="s">
        <v>18</v>
      </c>
      <c r="D21" s="29" t="s">
        <v>3</v>
      </c>
      <c r="E21" s="294">
        <v>1</v>
      </c>
      <c r="F21" s="294">
        <v>1</v>
      </c>
      <c r="G21" s="294">
        <v>1</v>
      </c>
      <c r="H21" s="294">
        <v>1</v>
      </c>
      <c r="I21" s="294">
        <v>1</v>
      </c>
      <c r="J21" s="294">
        <v>1</v>
      </c>
      <c r="K21" s="294">
        <v>1</v>
      </c>
      <c r="L21" s="294">
        <v>1</v>
      </c>
      <c r="M21" s="294">
        <v>1</v>
      </c>
      <c r="N21" s="294">
        <v>1</v>
      </c>
      <c r="O21" s="294">
        <v>1</v>
      </c>
    </row>
    <row r="22" spans="1:17" x14ac:dyDescent="0.2">
      <c r="A22" s="8">
        <v>11350</v>
      </c>
      <c r="B22" s="8" t="s">
        <v>93</v>
      </c>
      <c r="C22" s="8" t="s">
        <v>20</v>
      </c>
      <c r="D22" s="29" t="s">
        <v>4</v>
      </c>
      <c r="E22" s="294">
        <v>1</v>
      </c>
      <c r="F22" s="294">
        <v>1</v>
      </c>
      <c r="G22" s="294">
        <v>1</v>
      </c>
      <c r="H22" s="294">
        <v>1</v>
      </c>
      <c r="I22" s="294">
        <v>1</v>
      </c>
      <c r="J22" s="294">
        <v>1</v>
      </c>
      <c r="K22" s="294">
        <v>1</v>
      </c>
    </row>
    <row r="23" spans="1:17" x14ac:dyDescent="0.2">
      <c r="A23" s="8">
        <v>11400</v>
      </c>
      <c r="B23" s="8" t="s">
        <v>94</v>
      </c>
      <c r="C23" s="8" t="s">
        <v>42</v>
      </c>
      <c r="D23" s="29" t="s">
        <v>1</v>
      </c>
      <c r="E23" s="294">
        <v>1</v>
      </c>
      <c r="F23" s="294">
        <v>1</v>
      </c>
      <c r="G23" s="294">
        <v>1</v>
      </c>
      <c r="H23" s="294">
        <v>1</v>
      </c>
      <c r="I23" s="294">
        <v>1</v>
      </c>
      <c r="J23" s="294">
        <v>1</v>
      </c>
      <c r="K23" s="294">
        <v>1</v>
      </c>
      <c r="L23" s="294">
        <v>1</v>
      </c>
      <c r="M23" s="294">
        <v>1</v>
      </c>
      <c r="N23" s="294">
        <v>1</v>
      </c>
      <c r="O23" s="294">
        <v>1</v>
      </c>
      <c r="P23" s="294">
        <v>1</v>
      </c>
    </row>
    <row r="24" spans="1:17" x14ac:dyDescent="0.2">
      <c r="A24" s="8">
        <v>11450</v>
      </c>
      <c r="B24" s="8" t="s">
        <v>76</v>
      </c>
      <c r="C24" s="8" t="s">
        <v>193</v>
      </c>
      <c r="D24" s="29" t="s">
        <v>3</v>
      </c>
      <c r="E24" s="294">
        <v>1</v>
      </c>
      <c r="F24" s="294">
        <v>1</v>
      </c>
      <c r="G24" s="294">
        <v>1</v>
      </c>
      <c r="H24" s="294">
        <v>1</v>
      </c>
      <c r="I24" s="294">
        <v>1</v>
      </c>
      <c r="J24" s="294">
        <v>1</v>
      </c>
      <c r="K24" s="294">
        <v>1</v>
      </c>
      <c r="L24" s="294">
        <v>1</v>
      </c>
      <c r="M24" s="294">
        <v>1</v>
      </c>
      <c r="N24" s="294">
        <v>1</v>
      </c>
      <c r="O24" s="294">
        <v>1</v>
      </c>
    </row>
    <row r="25" spans="1:17" x14ac:dyDescent="0.2">
      <c r="A25" s="8">
        <v>11500</v>
      </c>
      <c r="B25" s="8" t="s">
        <v>53</v>
      </c>
      <c r="C25" s="8" t="s">
        <v>193</v>
      </c>
      <c r="D25" s="29" t="s">
        <v>3</v>
      </c>
      <c r="E25" s="294">
        <v>1</v>
      </c>
      <c r="F25" s="294">
        <v>1</v>
      </c>
      <c r="G25" s="294">
        <v>1</v>
      </c>
      <c r="H25" s="294">
        <v>1</v>
      </c>
      <c r="I25" s="294">
        <v>1</v>
      </c>
      <c r="J25" s="294">
        <v>1</v>
      </c>
      <c r="K25" s="294">
        <v>1</v>
      </c>
      <c r="L25" s="294">
        <v>1</v>
      </c>
      <c r="M25" s="294">
        <v>1</v>
      </c>
      <c r="N25" s="294">
        <v>1</v>
      </c>
      <c r="O25" s="294">
        <v>1</v>
      </c>
    </row>
    <row r="26" spans="1:17" x14ac:dyDescent="0.2">
      <c r="A26" s="8">
        <v>11520</v>
      </c>
      <c r="B26" s="8" t="s">
        <v>95</v>
      </c>
      <c r="C26" s="8" t="s">
        <v>18</v>
      </c>
      <c r="D26" s="29" t="s">
        <v>3</v>
      </c>
      <c r="E26" s="294">
        <v>1</v>
      </c>
      <c r="F26" s="294">
        <v>1</v>
      </c>
      <c r="G26" s="294">
        <v>1</v>
      </c>
      <c r="H26" s="294">
        <v>1</v>
      </c>
      <c r="I26" s="294">
        <v>1</v>
      </c>
      <c r="J26" s="294">
        <v>1</v>
      </c>
      <c r="K26" s="294">
        <v>1</v>
      </c>
      <c r="L26" s="294">
        <v>1</v>
      </c>
      <c r="M26" s="294">
        <v>1</v>
      </c>
      <c r="N26" s="294">
        <v>1</v>
      </c>
      <c r="O26" s="294">
        <v>1</v>
      </c>
    </row>
    <row r="27" spans="1:17" x14ac:dyDescent="0.2">
      <c r="A27" s="8">
        <v>11570</v>
      </c>
      <c r="B27" s="8" t="s">
        <v>96</v>
      </c>
      <c r="C27" s="8" t="s">
        <v>18</v>
      </c>
      <c r="D27" s="29" t="s">
        <v>3</v>
      </c>
      <c r="E27" s="294">
        <v>1</v>
      </c>
      <c r="F27" s="294">
        <v>1</v>
      </c>
      <c r="G27" s="294">
        <v>1</v>
      </c>
      <c r="H27" s="294">
        <v>1</v>
      </c>
      <c r="I27" s="294">
        <v>1</v>
      </c>
      <c r="J27" s="294">
        <v>1</v>
      </c>
      <c r="K27" s="294">
        <v>1</v>
      </c>
      <c r="L27" s="294">
        <v>1</v>
      </c>
      <c r="M27" s="294">
        <v>1</v>
      </c>
      <c r="N27" s="294">
        <v>1</v>
      </c>
      <c r="O27" s="294">
        <v>1</v>
      </c>
    </row>
    <row r="28" spans="1:17" x14ac:dyDescent="0.2">
      <c r="A28" s="8">
        <v>11600</v>
      </c>
      <c r="B28" s="8" t="s">
        <v>97</v>
      </c>
      <c r="C28" s="8" t="s">
        <v>75</v>
      </c>
      <c r="D28" s="29" t="s">
        <v>1</v>
      </c>
    </row>
    <row r="29" spans="1:17" x14ac:dyDescent="0.2">
      <c r="A29" s="8">
        <v>11650</v>
      </c>
      <c r="B29" s="8" t="s">
        <v>98</v>
      </c>
      <c r="C29" s="8" t="s">
        <v>25</v>
      </c>
      <c r="D29" s="29" t="s">
        <v>2</v>
      </c>
      <c r="E29" s="294">
        <v>1</v>
      </c>
      <c r="F29" s="294">
        <v>1</v>
      </c>
      <c r="G29" s="294">
        <v>1</v>
      </c>
      <c r="H29" s="294">
        <v>1</v>
      </c>
      <c r="I29" s="294">
        <v>1</v>
      </c>
      <c r="J29" s="294">
        <v>1</v>
      </c>
      <c r="K29" s="294">
        <v>1</v>
      </c>
      <c r="L29" s="294">
        <v>1</v>
      </c>
      <c r="M29" s="294">
        <v>1</v>
      </c>
      <c r="N29" s="294">
        <v>1</v>
      </c>
      <c r="O29" s="294">
        <v>1</v>
      </c>
      <c r="Q29" s="294">
        <v>1</v>
      </c>
    </row>
    <row r="30" spans="1:17" x14ac:dyDescent="0.2">
      <c r="A30" s="8">
        <v>11700</v>
      </c>
      <c r="B30" s="8" t="s">
        <v>99</v>
      </c>
      <c r="C30" s="8" t="s">
        <v>42</v>
      </c>
      <c r="D30" s="29" t="s">
        <v>1</v>
      </c>
    </row>
    <row r="31" spans="1:17" x14ac:dyDescent="0.2">
      <c r="A31" s="8">
        <v>11720</v>
      </c>
      <c r="B31" s="8" t="s">
        <v>100</v>
      </c>
      <c r="C31" s="8" t="s">
        <v>25</v>
      </c>
      <c r="D31" s="29" t="s">
        <v>2</v>
      </c>
      <c r="E31" s="294">
        <v>1</v>
      </c>
      <c r="F31" s="294">
        <v>1</v>
      </c>
      <c r="G31" s="294">
        <v>1</v>
      </c>
      <c r="H31" s="294">
        <v>1</v>
      </c>
      <c r="I31" s="294">
        <v>1</v>
      </c>
      <c r="J31" s="294">
        <v>1</v>
      </c>
      <c r="K31" s="294">
        <v>1</v>
      </c>
      <c r="L31" s="294">
        <v>1</v>
      </c>
      <c r="M31" s="294">
        <v>1</v>
      </c>
      <c r="N31" s="294">
        <v>1</v>
      </c>
      <c r="O31" s="294">
        <v>1</v>
      </c>
      <c r="P31" s="294">
        <v>1</v>
      </c>
    </row>
    <row r="32" spans="1:17" x14ac:dyDescent="0.2">
      <c r="A32" s="8">
        <v>11730</v>
      </c>
      <c r="B32" s="8" t="s">
        <v>101</v>
      </c>
      <c r="C32" s="8" t="s">
        <v>20</v>
      </c>
      <c r="D32" s="29" t="s">
        <v>4</v>
      </c>
      <c r="E32" s="294">
        <v>1</v>
      </c>
      <c r="F32" s="294">
        <v>1</v>
      </c>
      <c r="G32" s="294">
        <v>1</v>
      </c>
      <c r="H32" s="294">
        <v>1</v>
      </c>
      <c r="I32" s="294">
        <v>1</v>
      </c>
      <c r="J32" s="294">
        <v>1</v>
      </c>
      <c r="K32" s="294">
        <v>1</v>
      </c>
      <c r="L32" s="294">
        <v>1</v>
      </c>
      <c r="M32" s="294">
        <v>1</v>
      </c>
      <c r="N32" s="294">
        <v>1</v>
      </c>
      <c r="O32" s="294">
        <v>1</v>
      </c>
      <c r="P32" s="294">
        <v>1</v>
      </c>
    </row>
    <row r="33" spans="1:20" x14ac:dyDescent="0.2">
      <c r="A33" s="8">
        <v>11750</v>
      </c>
      <c r="B33" s="8" t="s">
        <v>102</v>
      </c>
      <c r="C33" s="8" t="s">
        <v>42</v>
      </c>
      <c r="D33" s="29" t="s">
        <v>1</v>
      </c>
    </row>
    <row r="34" spans="1:20" x14ac:dyDescent="0.2">
      <c r="A34" s="8">
        <v>11800</v>
      </c>
      <c r="B34" s="8" t="s">
        <v>49</v>
      </c>
      <c r="C34" s="8" t="s">
        <v>43</v>
      </c>
      <c r="D34" s="29" t="s">
        <v>4</v>
      </c>
      <c r="E34" s="294">
        <v>1</v>
      </c>
      <c r="F34" s="294">
        <v>1</v>
      </c>
      <c r="G34" s="294">
        <v>1</v>
      </c>
      <c r="H34" s="294">
        <v>1</v>
      </c>
      <c r="I34" s="294">
        <v>1</v>
      </c>
      <c r="J34" s="294">
        <v>1</v>
      </c>
      <c r="K34" s="294">
        <v>1</v>
      </c>
      <c r="L34" s="294">
        <v>1</v>
      </c>
      <c r="M34" s="294">
        <v>1</v>
      </c>
      <c r="N34" s="294">
        <v>1</v>
      </c>
      <c r="O34" s="294">
        <v>1</v>
      </c>
    </row>
    <row r="35" spans="1:20" x14ac:dyDescent="0.2">
      <c r="A35" s="8">
        <v>12000</v>
      </c>
      <c r="B35" s="8" t="s">
        <v>103</v>
      </c>
      <c r="C35" s="8" t="s">
        <v>22</v>
      </c>
      <c r="D35" s="29" t="s">
        <v>1</v>
      </c>
      <c r="E35" s="294">
        <v>1</v>
      </c>
      <c r="F35" s="294">
        <v>1</v>
      </c>
      <c r="G35" s="294">
        <v>1</v>
      </c>
      <c r="H35" s="294">
        <v>1</v>
      </c>
      <c r="I35" s="294">
        <v>1</v>
      </c>
      <c r="J35" s="294">
        <v>1</v>
      </c>
    </row>
    <row r="36" spans="1:20" x14ac:dyDescent="0.2">
      <c r="A36" s="8">
        <v>12150</v>
      </c>
      <c r="B36" s="8" t="s">
        <v>104</v>
      </c>
      <c r="C36" s="8" t="s">
        <v>42</v>
      </c>
      <c r="D36" s="29" t="s">
        <v>1</v>
      </c>
    </row>
    <row r="37" spans="1:20" x14ac:dyDescent="0.2">
      <c r="A37" s="8">
        <v>12160</v>
      </c>
      <c r="B37" s="8" t="s">
        <v>105</v>
      </c>
      <c r="C37" s="8" t="s">
        <v>22</v>
      </c>
      <c r="D37" s="29" t="s">
        <v>1</v>
      </c>
      <c r="E37" s="294">
        <v>1</v>
      </c>
      <c r="F37" s="294">
        <v>1</v>
      </c>
      <c r="H37" s="294">
        <v>1</v>
      </c>
      <c r="I37" s="294">
        <v>1</v>
      </c>
      <c r="J37" s="294">
        <v>1</v>
      </c>
      <c r="K37" s="294">
        <v>1</v>
      </c>
      <c r="L37" s="294">
        <v>1</v>
      </c>
      <c r="M37" s="294">
        <v>1</v>
      </c>
      <c r="P37" s="294">
        <v>1</v>
      </c>
    </row>
    <row r="38" spans="1:20" x14ac:dyDescent="0.2">
      <c r="A38" s="8">
        <v>12350</v>
      </c>
      <c r="B38" s="8" t="s">
        <v>106</v>
      </c>
      <c r="C38" s="8" t="s">
        <v>42</v>
      </c>
      <c r="D38" s="29" t="s">
        <v>1</v>
      </c>
      <c r="E38" s="294">
        <v>1</v>
      </c>
      <c r="F38" s="294">
        <v>1</v>
      </c>
      <c r="G38" s="294">
        <v>1</v>
      </c>
      <c r="H38" s="294">
        <v>1</v>
      </c>
      <c r="I38" s="294">
        <v>1</v>
      </c>
      <c r="J38" s="294">
        <v>1</v>
      </c>
      <c r="K38" s="294">
        <v>1</v>
      </c>
      <c r="L38" s="294">
        <v>1</v>
      </c>
      <c r="M38" s="294">
        <v>1</v>
      </c>
      <c r="O38" s="294">
        <v>1</v>
      </c>
    </row>
    <row r="39" spans="1:20" x14ac:dyDescent="0.2">
      <c r="A39" s="8">
        <v>12380</v>
      </c>
      <c r="B39" s="8" t="s">
        <v>54</v>
      </c>
      <c r="C39" s="8" t="s">
        <v>19</v>
      </c>
      <c r="D39" s="29" t="s">
        <v>3</v>
      </c>
      <c r="E39" s="294">
        <v>1</v>
      </c>
      <c r="F39" s="294">
        <v>1</v>
      </c>
      <c r="G39" s="294">
        <v>1</v>
      </c>
      <c r="H39" s="294">
        <v>1</v>
      </c>
      <c r="I39" s="294">
        <v>1</v>
      </c>
      <c r="J39" s="294">
        <v>1</v>
      </c>
      <c r="K39" s="294">
        <v>1</v>
      </c>
      <c r="L39" s="294">
        <v>1</v>
      </c>
      <c r="M39" s="294">
        <v>1</v>
      </c>
      <c r="N39" s="294">
        <v>1</v>
      </c>
      <c r="O39" s="294">
        <v>1</v>
      </c>
    </row>
    <row r="40" spans="1:20" x14ac:dyDescent="0.2">
      <c r="A40" s="8">
        <v>12390</v>
      </c>
      <c r="B40" s="8" t="s">
        <v>107</v>
      </c>
      <c r="C40" s="8" t="s">
        <v>42</v>
      </c>
      <c r="D40" s="29" t="s">
        <v>1</v>
      </c>
      <c r="E40" s="294">
        <v>1</v>
      </c>
      <c r="F40" s="294">
        <v>1</v>
      </c>
      <c r="H40" s="294">
        <v>1</v>
      </c>
      <c r="I40" s="294">
        <v>1</v>
      </c>
      <c r="J40" s="294">
        <v>1</v>
      </c>
      <c r="K40" s="294">
        <v>1</v>
      </c>
      <c r="L40" s="294">
        <v>1</v>
      </c>
      <c r="M40" s="294">
        <v>1</v>
      </c>
      <c r="N40" s="294">
        <v>1</v>
      </c>
      <c r="O40" s="294">
        <v>1</v>
      </c>
    </row>
    <row r="41" spans="1:20" x14ac:dyDescent="0.2">
      <c r="A41" s="8">
        <v>12700</v>
      </c>
      <c r="B41" s="8" t="s">
        <v>108</v>
      </c>
      <c r="C41" s="8" t="s">
        <v>25</v>
      </c>
      <c r="D41" s="29" t="s">
        <v>4</v>
      </c>
      <c r="E41" s="294">
        <v>1</v>
      </c>
      <c r="F41" s="294">
        <v>1</v>
      </c>
      <c r="G41" s="294">
        <v>1</v>
      </c>
      <c r="H41" s="294">
        <v>1</v>
      </c>
      <c r="I41" s="294">
        <v>1</v>
      </c>
      <c r="J41" s="294">
        <v>1</v>
      </c>
      <c r="K41" s="294">
        <v>1</v>
      </c>
      <c r="L41" s="294">
        <v>1</v>
      </c>
      <c r="M41" s="294">
        <v>1</v>
      </c>
      <c r="N41" s="294">
        <v>1</v>
      </c>
      <c r="O41" s="294">
        <v>1</v>
      </c>
      <c r="P41" s="294">
        <v>1</v>
      </c>
      <c r="S41" s="294">
        <v>1</v>
      </c>
      <c r="T41" s="294">
        <v>1</v>
      </c>
    </row>
    <row r="42" spans="1:20" x14ac:dyDescent="0.2">
      <c r="A42" s="8">
        <v>12730</v>
      </c>
      <c r="B42" s="8" t="s">
        <v>109</v>
      </c>
      <c r="C42" s="8" t="s">
        <v>73</v>
      </c>
      <c r="D42" s="29" t="s">
        <v>1</v>
      </c>
    </row>
    <row r="43" spans="1:20" x14ac:dyDescent="0.2">
      <c r="A43" s="8">
        <v>12750</v>
      </c>
      <c r="B43" s="8" t="s">
        <v>110</v>
      </c>
      <c r="C43" s="8" t="s">
        <v>74</v>
      </c>
      <c r="D43" s="29" t="s">
        <v>1</v>
      </c>
      <c r="E43" s="294">
        <v>1</v>
      </c>
      <c r="F43" s="294">
        <v>1</v>
      </c>
      <c r="G43" s="294">
        <v>1</v>
      </c>
      <c r="H43" s="294">
        <v>1</v>
      </c>
      <c r="I43" s="294">
        <v>1</v>
      </c>
      <c r="J43" s="294">
        <v>1</v>
      </c>
      <c r="K43" s="294">
        <v>1</v>
      </c>
      <c r="L43" s="294">
        <v>1</v>
      </c>
    </row>
    <row r="44" spans="1:20" x14ac:dyDescent="0.2">
      <c r="A44" s="8">
        <v>12850</v>
      </c>
      <c r="B44" s="8" t="s">
        <v>111</v>
      </c>
      <c r="C44" s="8" t="s">
        <v>19</v>
      </c>
      <c r="D44" s="29" t="s">
        <v>3</v>
      </c>
      <c r="E44" s="294">
        <v>1</v>
      </c>
      <c r="F44" s="294">
        <v>1</v>
      </c>
      <c r="G44" s="294">
        <v>1</v>
      </c>
      <c r="H44" s="294">
        <v>1</v>
      </c>
      <c r="I44" s="294">
        <v>1</v>
      </c>
      <c r="J44" s="294">
        <v>1</v>
      </c>
      <c r="K44" s="294">
        <v>1</v>
      </c>
      <c r="L44" s="294">
        <v>1</v>
      </c>
    </row>
    <row r="45" spans="1:20" x14ac:dyDescent="0.2">
      <c r="A45" s="8">
        <v>12870</v>
      </c>
      <c r="B45" s="8" t="s">
        <v>112</v>
      </c>
      <c r="C45" s="8" t="s">
        <v>73</v>
      </c>
      <c r="D45" s="29" t="s">
        <v>1</v>
      </c>
      <c r="E45" s="294">
        <v>1</v>
      </c>
      <c r="F45" s="294">
        <v>1</v>
      </c>
      <c r="G45" s="294">
        <v>1</v>
      </c>
      <c r="H45" s="294">
        <v>1</v>
      </c>
      <c r="I45" s="294">
        <v>1</v>
      </c>
      <c r="J45" s="294">
        <v>1</v>
      </c>
      <c r="K45" s="294">
        <v>1</v>
      </c>
      <c r="L45" s="294">
        <v>1</v>
      </c>
      <c r="M45" s="294">
        <v>1</v>
      </c>
      <c r="N45" s="294">
        <v>1</v>
      </c>
      <c r="O45" s="294">
        <v>1</v>
      </c>
    </row>
    <row r="46" spans="1:20" x14ac:dyDescent="0.2">
      <c r="A46" s="8">
        <v>12900</v>
      </c>
      <c r="B46" s="8" t="s">
        <v>113</v>
      </c>
      <c r="C46" s="8" t="s">
        <v>42</v>
      </c>
      <c r="D46" s="29" t="s">
        <v>1</v>
      </c>
      <c r="E46" s="294">
        <v>1</v>
      </c>
      <c r="F46" s="294">
        <v>1</v>
      </c>
      <c r="G46" s="294">
        <v>1</v>
      </c>
      <c r="H46" s="294">
        <v>1</v>
      </c>
      <c r="I46" s="294">
        <v>1</v>
      </c>
      <c r="J46" s="294">
        <v>1</v>
      </c>
      <c r="K46" s="294">
        <v>1</v>
      </c>
      <c r="L46" s="294">
        <v>1</v>
      </c>
      <c r="M46" s="294">
        <v>1</v>
      </c>
      <c r="O46" s="294">
        <v>1</v>
      </c>
      <c r="P46" s="294">
        <v>1</v>
      </c>
    </row>
    <row r="47" spans="1:20" x14ac:dyDescent="0.2">
      <c r="A47" s="8">
        <v>12930</v>
      </c>
      <c r="B47" s="8" t="s">
        <v>55</v>
      </c>
      <c r="C47" s="8" t="s">
        <v>18</v>
      </c>
      <c r="D47" s="29" t="s">
        <v>3</v>
      </c>
      <c r="E47" s="294">
        <v>1</v>
      </c>
      <c r="F47" s="294">
        <v>1</v>
      </c>
      <c r="G47" s="294">
        <v>1</v>
      </c>
      <c r="H47" s="294">
        <v>1</v>
      </c>
      <c r="I47" s="294">
        <v>1</v>
      </c>
      <c r="J47" s="294">
        <v>1</v>
      </c>
      <c r="K47" s="294">
        <v>1</v>
      </c>
      <c r="L47" s="294">
        <v>1</v>
      </c>
      <c r="M47" s="294">
        <v>1</v>
      </c>
      <c r="O47" s="294">
        <v>1</v>
      </c>
      <c r="P47" s="294">
        <v>1</v>
      </c>
    </row>
    <row r="48" spans="1:20" x14ac:dyDescent="0.2">
      <c r="A48" s="8">
        <v>12950</v>
      </c>
      <c r="B48" s="8" t="s">
        <v>114</v>
      </c>
      <c r="C48" s="8" t="s">
        <v>42</v>
      </c>
      <c r="D48" s="29" t="s">
        <v>1</v>
      </c>
      <c r="E48" s="294">
        <v>1</v>
      </c>
      <c r="F48" s="294">
        <v>1</v>
      </c>
      <c r="H48" s="294">
        <v>1</v>
      </c>
      <c r="I48" s="294">
        <v>1</v>
      </c>
      <c r="J48" s="294">
        <v>1</v>
      </c>
      <c r="K48" s="294">
        <v>1</v>
      </c>
      <c r="L48" s="294">
        <v>1</v>
      </c>
      <c r="M48" s="294">
        <v>1</v>
      </c>
      <c r="Q48" s="294">
        <v>1</v>
      </c>
    </row>
    <row r="49" spans="1:17" x14ac:dyDescent="0.2">
      <c r="A49" s="8">
        <v>13010</v>
      </c>
      <c r="B49" s="8" t="s">
        <v>115</v>
      </c>
      <c r="C49" s="8" t="s">
        <v>17</v>
      </c>
      <c r="D49" s="29" t="s">
        <v>1</v>
      </c>
      <c r="E49" s="294">
        <v>1</v>
      </c>
      <c r="F49" s="294">
        <v>1</v>
      </c>
      <c r="G49" s="294">
        <v>1</v>
      </c>
      <c r="H49" s="294">
        <v>1</v>
      </c>
      <c r="I49" s="294">
        <v>1</v>
      </c>
      <c r="J49" s="294">
        <v>1</v>
      </c>
      <c r="K49" s="294">
        <v>1</v>
      </c>
      <c r="L49" s="294">
        <v>1</v>
      </c>
      <c r="M49" s="294">
        <v>1</v>
      </c>
      <c r="P49" s="294">
        <v>1</v>
      </c>
      <c r="Q49" s="294">
        <v>1</v>
      </c>
    </row>
    <row r="50" spans="1:17" x14ac:dyDescent="0.2">
      <c r="A50" s="8">
        <v>13310</v>
      </c>
      <c r="B50" s="8" t="s">
        <v>116</v>
      </c>
      <c r="C50" s="8" t="s">
        <v>74</v>
      </c>
      <c r="D50" s="29" t="s">
        <v>1</v>
      </c>
      <c r="E50" s="294">
        <v>1</v>
      </c>
      <c r="F50" s="294">
        <v>1</v>
      </c>
      <c r="G50" s="294">
        <v>1</v>
      </c>
      <c r="H50" s="294">
        <v>1</v>
      </c>
      <c r="I50" s="294">
        <v>1</v>
      </c>
      <c r="J50" s="294">
        <v>1</v>
      </c>
      <c r="K50" s="294">
        <v>1</v>
      </c>
      <c r="L50" s="294">
        <v>1</v>
      </c>
      <c r="M50" s="294">
        <v>1</v>
      </c>
    </row>
    <row r="51" spans="1:17" x14ac:dyDescent="0.2">
      <c r="A51" s="8">
        <v>13340</v>
      </c>
      <c r="B51" s="8" t="s">
        <v>117</v>
      </c>
      <c r="C51" s="8" t="s">
        <v>22</v>
      </c>
      <c r="D51" s="29" t="s">
        <v>1</v>
      </c>
      <c r="E51" s="294">
        <v>1</v>
      </c>
      <c r="F51" s="294">
        <v>1</v>
      </c>
      <c r="G51" s="294">
        <v>1</v>
      </c>
      <c r="H51" s="294">
        <v>1</v>
      </c>
      <c r="I51" s="294">
        <v>1</v>
      </c>
      <c r="J51" s="294">
        <v>1</v>
      </c>
      <c r="K51" s="294">
        <v>1</v>
      </c>
      <c r="L51" s="294">
        <v>1</v>
      </c>
      <c r="M51" s="294">
        <v>1</v>
      </c>
      <c r="N51" s="294">
        <v>1</v>
      </c>
      <c r="O51" s="294">
        <v>1</v>
      </c>
    </row>
    <row r="52" spans="1:17" x14ac:dyDescent="0.2">
      <c r="A52" s="8">
        <v>13450</v>
      </c>
      <c r="B52" s="8" t="s">
        <v>118</v>
      </c>
      <c r="C52" s="8" t="s">
        <v>75</v>
      </c>
      <c r="D52" s="29" t="s">
        <v>1</v>
      </c>
      <c r="E52" s="294">
        <v>1</v>
      </c>
      <c r="F52" s="294">
        <v>1</v>
      </c>
      <c r="G52" s="294">
        <v>1</v>
      </c>
      <c r="I52" s="294">
        <v>1</v>
      </c>
      <c r="J52" s="294">
        <v>1</v>
      </c>
      <c r="K52" s="294">
        <v>1</v>
      </c>
      <c r="L52" s="294">
        <v>1</v>
      </c>
      <c r="M52" s="294">
        <v>1</v>
      </c>
      <c r="N52" s="294">
        <v>1</v>
      </c>
      <c r="O52" s="294">
        <v>1</v>
      </c>
    </row>
    <row r="53" spans="1:17" x14ac:dyDescent="0.2">
      <c r="A53" s="8">
        <v>13550</v>
      </c>
      <c r="B53" s="8" t="s">
        <v>77</v>
      </c>
      <c r="C53" s="8" t="s">
        <v>17</v>
      </c>
      <c r="D53" s="29" t="s">
        <v>1</v>
      </c>
      <c r="E53" s="294">
        <v>1</v>
      </c>
      <c r="F53" s="294">
        <v>1</v>
      </c>
      <c r="H53" s="294">
        <v>1</v>
      </c>
      <c r="I53" s="294">
        <v>1</v>
      </c>
      <c r="J53" s="294">
        <v>1</v>
      </c>
      <c r="K53" s="294">
        <v>1</v>
      </c>
      <c r="L53" s="294">
        <v>1</v>
      </c>
      <c r="M53" s="294">
        <v>1</v>
      </c>
      <c r="N53" s="294">
        <v>1</v>
      </c>
      <c r="O53" s="294">
        <v>1</v>
      </c>
    </row>
    <row r="54" spans="1:17" x14ac:dyDescent="0.2">
      <c r="A54" s="8">
        <v>13660</v>
      </c>
      <c r="B54" s="8" t="s">
        <v>119</v>
      </c>
      <c r="C54" s="8" t="s">
        <v>17</v>
      </c>
      <c r="D54" s="29" t="s">
        <v>1</v>
      </c>
      <c r="E54" s="294">
        <v>1</v>
      </c>
      <c r="F54" s="294">
        <v>1</v>
      </c>
      <c r="G54" s="294">
        <v>1</v>
      </c>
      <c r="H54" s="294">
        <v>1</v>
      </c>
      <c r="I54" s="294">
        <v>1</v>
      </c>
      <c r="J54" s="294">
        <v>1</v>
      </c>
      <c r="K54" s="294">
        <v>1</v>
      </c>
      <c r="L54" s="294">
        <v>1</v>
      </c>
      <c r="M54" s="294">
        <v>1</v>
      </c>
    </row>
    <row r="55" spans="1:17" x14ac:dyDescent="0.2">
      <c r="A55" s="8">
        <v>13800</v>
      </c>
      <c r="B55" s="8" t="s">
        <v>120</v>
      </c>
      <c r="C55" s="8" t="s">
        <v>19</v>
      </c>
      <c r="D55" s="29" t="s">
        <v>2</v>
      </c>
      <c r="E55" s="294">
        <v>1</v>
      </c>
      <c r="F55" s="294">
        <v>1</v>
      </c>
      <c r="G55" s="294">
        <v>1</v>
      </c>
      <c r="H55" s="294">
        <v>1</v>
      </c>
      <c r="I55" s="294">
        <v>1</v>
      </c>
      <c r="J55" s="294">
        <v>1</v>
      </c>
      <c r="K55" s="294">
        <v>1</v>
      </c>
      <c r="L55" s="294">
        <v>1</v>
      </c>
    </row>
    <row r="56" spans="1:17" x14ac:dyDescent="0.2">
      <c r="A56" s="8">
        <v>13850</v>
      </c>
      <c r="B56" s="8" t="s">
        <v>121</v>
      </c>
      <c r="C56" s="8" t="s">
        <v>75</v>
      </c>
      <c r="D56" s="29" t="s">
        <v>1</v>
      </c>
    </row>
    <row r="57" spans="1:17" x14ac:dyDescent="0.2">
      <c r="A57" s="8">
        <v>13910</v>
      </c>
      <c r="B57" s="8" t="s">
        <v>122</v>
      </c>
      <c r="C57" s="8" t="s">
        <v>74</v>
      </c>
      <c r="D57" s="29" t="s">
        <v>1</v>
      </c>
      <c r="E57" s="294">
        <v>1</v>
      </c>
      <c r="F57" s="294">
        <v>1</v>
      </c>
      <c r="G57" s="294">
        <v>1</v>
      </c>
      <c r="H57" s="294">
        <v>1</v>
      </c>
      <c r="I57" s="294">
        <v>1</v>
      </c>
      <c r="J57" s="294">
        <v>1</v>
      </c>
      <c r="K57" s="294">
        <v>1</v>
      </c>
      <c r="O57" s="294">
        <v>1</v>
      </c>
    </row>
    <row r="58" spans="1:17" x14ac:dyDescent="0.2">
      <c r="A58" s="8">
        <v>14000</v>
      </c>
      <c r="B58" s="8" t="s">
        <v>123</v>
      </c>
      <c r="C58" s="8" t="s">
        <v>26</v>
      </c>
      <c r="D58" s="29" t="s">
        <v>3</v>
      </c>
      <c r="E58" s="294">
        <v>1</v>
      </c>
      <c r="F58" s="294">
        <v>1</v>
      </c>
      <c r="G58" s="294">
        <v>1</v>
      </c>
      <c r="H58" s="294">
        <v>1</v>
      </c>
      <c r="I58" s="294">
        <v>1</v>
      </c>
      <c r="J58" s="294">
        <v>1</v>
      </c>
      <c r="K58" s="294">
        <v>1</v>
      </c>
      <c r="L58" s="294">
        <v>1</v>
      </c>
      <c r="M58" s="294">
        <v>1</v>
      </c>
      <c r="N58" s="294">
        <v>1</v>
      </c>
      <c r="O58" s="294">
        <v>1</v>
      </c>
      <c r="P58" s="294">
        <v>1</v>
      </c>
    </row>
    <row r="59" spans="1:17" x14ac:dyDescent="0.2">
      <c r="A59" s="8">
        <v>14100</v>
      </c>
      <c r="B59" s="8" t="s">
        <v>56</v>
      </c>
      <c r="C59" s="8" t="s">
        <v>26</v>
      </c>
      <c r="D59" s="29" t="s">
        <v>3</v>
      </c>
      <c r="E59" s="294">
        <v>1</v>
      </c>
      <c r="F59" s="294">
        <v>1</v>
      </c>
      <c r="G59" s="294">
        <v>1</v>
      </c>
      <c r="H59" s="294">
        <v>1</v>
      </c>
      <c r="I59" s="294">
        <v>1</v>
      </c>
      <c r="J59" s="294">
        <v>1</v>
      </c>
      <c r="K59" s="294">
        <v>1</v>
      </c>
      <c r="L59" s="294">
        <v>1</v>
      </c>
      <c r="M59" s="294">
        <v>1</v>
      </c>
      <c r="N59" s="294">
        <v>1</v>
      </c>
      <c r="O59" s="294">
        <v>1</v>
      </c>
    </row>
    <row r="60" spans="1:17" x14ac:dyDescent="0.2">
      <c r="A60" s="8">
        <v>14170</v>
      </c>
      <c r="B60" s="8" t="s">
        <v>57</v>
      </c>
      <c r="C60" s="8" t="s">
        <v>18</v>
      </c>
      <c r="D60" s="29" t="s">
        <v>3</v>
      </c>
      <c r="E60" s="294">
        <v>1</v>
      </c>
      <c r="F60" s="294">
        <v>1</v>
      </c>
      <c r="G60" s="294">
        <v>1</v>
      </c>
      <c r="H60" s="294">
        <v>1</v>
      </c>
      <c r="I60" s="294">
        <v>1</v>
      </c>
      <c r="J60" s="294">
        <v>1</v>
      </c>
      <c r="K60" s="294">
        <v>1</v>
      </c>
      <c r="L60" s="294">
        <v>1</v>
      </c>
      <c r="M60" s="294">
        <v>1</v>
      </c>
      <c r="N60" s="294">
        <v>1</v>
      </c>
      <c r="O60" s="294">
        <v>1</v>
      </c>
    </row>
    <row r="61" spans="1:17" x14ac:dyDescent="0.2">
      <c r="A61" s="8">
        <v>14200</v>
      </c>
      <c r="B61" s="8" t="s">
        <v>124</v>
      </c>
      <c r="C61" s="8" t="s">
        <v>17</v>
      </c>
      <c r="D61" s="29" t="s">
        <v>1</v>
      </c>
      <c r="E61" s="294">
        <v>1</v>
      </c>
      <c r="F61" s="294">
        <v>1</v>
      </c>
      <c r="H61" s="294">
        <v>1</v>
      </c>
      <c r="I61" s="294">
        <v>1</v>
      </c>
      <c r="J61" s="294">
        <v>1</v>
      </c>
      <c r="K61" s="294">
        <v>1</v>
      </c>
      <c r="L61" s="294">
        <v>1</v>
      </c>
      <c r="M61" s="294">
        <v>1</v>
      </c>
      <c r="N61" s="294">
        <v>1</v>
      </c>
      <c r="Q61" s="294">
        <v>1</v>
      </c>
    </row>
    <row r="62" spans="1:17" x14ac:dyDescent="0.2">
      <c r="A62" s="8">
        <v>14300</v>
      </c>
      <c r="B62" s="8" t="s">
        <v>125</v>
      </c>
      <c r="C62" s="8" t="s">
        <v>22</v>
      </c>
      <c r="D62" s="29" t="s">
        <v>1</v>
      </c>
      <c r="E62" s="294">
        <v>1</v>
      </c>
      <c r="F62" s="294">
        <v>1</v>
      </c>
      <c r="G62" s="294">
        <v>1</v>
      </c>
      <c r="H62" s="294">
        <v>1</v>
      </c>
      <c r="I62" s="294">
        <v>1</v>
      </c>
      <c r="J62" s="294">
        <v>1</v>
      </c>
      <c r="K62" s="294">
        <v>1</v>
      </c>
    </row>
    <row r="63" spans="1:17" x14ac:dyDescent="0.2">
      <c r="A63" s="8">
        <v>14350</v>
      </c>
      <c r="B63" s="8" t="s">
        <v>126</v>
      </c>
      <c r="C63" s="8" t="s">
        <v>43</v>
      </c>
      <c r="D63" s="29" t="s">
        <v>4</v>
      </c>
      <c r="E63" s="294">
        <v>1</v>
      </c>
      <c r="F63" s="294">
        <v>1</v>
      </c>
      <c r="G63" s="294">
        <v>1</v>
      </c>
      <c r="H63" s="294">
        <v>1</v>
      </c>
      <c r="I63" s="294">
        <v>1</v>
      </c>
      <c r="J63" s="294">
        <v>1</v>
      </c>
      <c r="K63" s="294">
        <v>1</v>
      </c>
      <c r="L63" s="294">
        <v>1</v>
      </c>
      <c r="M63" s="294">
        <v>1</v>
      </c>
      <c r="N63" s="294">
        <v>1</v>
      </c>
      <c r="O63" s="294">
        <v>1</v>
      </c>
    </row>
    <row r="64" spans="1:17" x14ac:dyDescent="0.2">
      <c r="A64" s="8">
        <v>14400</v>
      </c>
      <c r="B64" s="8" t="s">
        <v>127</v>
      </c>
      <c r="C64" s="8" t="s">
        <v>41</v>
      </c>
      <c r="D64" s="29" t="s">
        <v>2</v>
      </c>
      <c r="E64" s="294">
        <v>1</v>
      </c>
      <c r="F64" s="294">
        <v>1</v>
      </c>
      <c r="G64" s="294">
        <v>1</v>
      </c>
      <c r="H64" s="294">
        <v>1</v>
      </c>
      <c r="I64" s="294">
        <v>1</v>
      </c>
      <c r="J64" s="294">
        <v>1</v>
      </c>
      <c r="K64" s="294">
        <v>1</v>
      </c>
    </row>
    <row r="65" spans="1:22" x14ac:dyDescent="0.2">
      <c r="A65" s="8">
        <v>14500</v>
      </c>
      <c r="B65" s="8" t="s">
        <v>58</v>
      </c>
      <c r="C65" s="8" t="s">
        <v>26</v>
      </c>
      <c r="D65" s="29" t="s">
        <v>3</v>
      </c>
      <c r="E65" s="294">
        <v>1</v>
      </c>
      <c r="F65" s="294">
        <v>1</v>
      </c>
      <c r="G65" s="294">
        <v>1</v>
      </c>
      <c r="H65" s="294">
        <v>1</v>
      </c>
      <c r="I65" s="294">
        <v>1</v>
      </c>
      <c r="J65" s="294">
        <v>1</v>
      </c>
      <c r="K65" s="294">
        <v>1</v>
      </c>
      <c r="L65" s="294">
        <v>1</v>
      </c>
      <c r="M65" s="294">
        <v>1</v>
      </c>
      <c r="N65" s="294">
        <v>1</v>
      </c>
      <c r="O65" s="294">
        <v>1</v>
      </c>
    </row>
    <row r="66" spans="1:22" x14ac:dyDescent="0.2">
      <c r="A66" s="8">
        <v>14550</v>
      </c>
      <c r="B66" s="8" t="s">
        <v>128</v>
      </c>
      <c r="C66" s="8" t="s">
        <v>20</v>
      </c>
      <c r="D66" s="29" t="s">
        <v>4</v>
      </c>
      <c r="E66" s="294">
        <v>1</v>
      </c>
      <c r="F66" s="294">
        <v>1</v>
      </c>
      <c r="G66" s="294">
        <v>1</v>
      </c>
      <c r="H66" s="294">
        <v>1</v>
      </c>
      <c r="I66" s="294">
        <v>1</v>
      </c>
      <c r="J66" s="294">
        <v>1</v>
      </c>
      <c r="K66" s="294">
        <v>1</v>
      </c>
      <c r="L66" s="294">
        <v>1</v>
      </c>
      <c r="M66" s="294">
        <v>1</v>
      </c>
      <c r="N66" s="294">
        <v>1</v>
      </c>
      <c r="O66" s="294">
        <v>1</v>
      </c>
      <c r="P66" s="294">
        <v>1</v>
      </c>
    </row>
    <row r="67" spans="1:22" x14ac:dyDescent="0.2">
      <c r="A67" s="8">
        <v>14600</v>
      </c>
      <c r="B67" s="8" t="s">
        <v>129</v>
      </c>
      <c r="C67" s="8" t="s">
        <v>42</v>
      </c>
      <c r="D67" s="29" t="s">
        <v>1</v>
      </c>
      <c r="E67" s="294">
        <v>1</v>
      </c>
      <c r="F67" s="294">
        <v>1</v>
      </c>
      <c r="H67" s="294">
        <v>1</v>
      </c>
      <c r="I67" s="294">
        <v>1</v>
      </c>
      <c r="J67" s="294">
        <v>1</v>
      </c>
      <c r="K67" s="294">
        <v>1</v>
      </c>
      <c r="L67" s="294">
        <v>1</v>
      </c>
      <c r="M67" s="294">
        <v>1</v>
      </c>
      <c r="N67" s="294">
        <v>1</v>
      </c>
      <c r="O67" s="294">
        <v>1</v>
      </c>
    </row>
    <row r="68" spans="1:22" x14ac:dyDescent="0.2">
      <c r="A68" s="8">
        <v>14650</v>
      </c>
      <c r="B68" s="8" t="s">
        <v>130</v>
      </c>
      <c r="C68" s="8" t="s">
        <v>25</v>
      </c>
      <c r="D68" s="29" t="s">
        <v>2</v>
      </c>
      <c r="E68" s="294">
        <v>1</v>
      </c>
      <c r="F68" s="294">
        <v>1</v>
      </c>
      <c r="G68" s="294">
        <v>1</v>
      </c>
      <c r="H68" s="294">
        <v>1</v>
      </c>
      <c r="I68" s="294">
        <v>1</v>
      </c>
      <c r="J68" s="294">
        <v>1</v>
      </c>
      <c r="K68" s="294">
        <v>1</v>
      </c>
      <c r="L68" s="294">
        <v>1</v>
      </c>
      <c r="M68" s="294">
        <v>1</v>
      </c>
      <c r="N68" s="294">
        <v>1</v>
      </c>
      <c r="O68" s="294">
        <v>1</v>
      </c>
    </row>
    <row r="69" spans="1:22" x14ac:dyDescent="0.2">
      <c r="A69" s="8">
        <v>14700</v>
      </c>
      <c r="B69" s="8" t="s">
        <v>59</v>
      </c>
      <c r="C69" s="8" t="s">
        <v>26</v>
      </c>
      <c r="D69" s="29" t="s">
        <v>3</v>
      </c>
      <c r="E69" s="294">
        <v>1</v>
      </c>
      <c r="F69" s="294">
        <v>1</v>
      </c>
      <c r="G69" s="294">
        <v>1</v>
      </c>
      <c r="H69" s="294">
        <v>1</v>
      </c>
      <c r="I69" s="294">
        <v>1</v>
      </c>
      <c r="J69" s="294">
        <v>1</v>
      </c>
      <c r="K69" s="294">
        <v>1</v>
      </c>
      <c r="L69" s="294">
        <v>1</v>
      </c>
      <c r="M69" s="294">
        <v>1</v>
      </c>
      <c r="N69" s="294">
        <v>1</v>
      </c>
      <c r="O69" s="294">
        <v>1</v>
      </c>
    </row>
    <row r="70" spans="1:22" x14ac:dyDescent="0.2">
      <c r="A70" s="8">
        <v>14750</v>
      </c>
      <c r="B70" s="8" t="s">
        <v>131</v>
      </c>
      <c r="C70" s="8" t="s">
        <v>75</v>
      </c>
      <c r="D70" s="29" t="s">
        <v>1</v>
      </c>
      <c r="E70" s="294">
        <v>1</v>
      </c>
      <c r="F70" s="294">
        <v>1</v>
      </c>
      <c r="G70" s="294">
        <v>1</v>
      </c>
      <c r="H70" s="294">
        <v>1</v>
      </c>
      <c r="I70" s="294">
        <v>1</v>
      </c>
      <c r="J70" s="294">
        <v>1</v>
      </c>
      <c r="K70" s="294">
        <v>1</v>
      </c>
      <c r="L70" s="294">
        <v>1</v>
      </c>
      <c r="M70" s="294">
        <v>1</v>
      </c>
      <c r="N70" s="294">
        <v>1</v>
      </c>
      <c r="O70" s="294">
        <v>1</v>
      </c>
      <c r="P70" s="294">
        <v>1</v>
      </c>
    </row>
    <row r="71" spans="1:22" x14ac:dyDescent="0.2">
      <c r="A71" s="8">
        <v>14850</v>
      </c>
      <c r="B71" s="8" t="s">
        <v>132</v>
      </c>
      <c r="C71" s="8" t="s">
        <v>20</v>
      </c>
      <c r="D71" s="29" t="s">
        <v>4</v>
      </c>
      <c r="E71" s="294">
        <v>1</v>
      </c>
      <c r="F71" s="294">
        <v>1</v>
      </c>
      <c r="G71" s="294">
        <v>1</v>
      </c>
      <c r="H71" s="294">
        <v>1</v>
      </c>
      <c r="I71" s="294">
        <v>1</v>
      </c>
      <c r="J71" s="294">
        <v>1</v>
      </c>
      <c r="K71" s="294">
        <v>1</v>
      </c>
      <c r="L71" s="294">
        <v>1</v>
      </c>
      <c r="M71" s="294">
        <v>1</v>
      </c>
      <c r="N71" s="294">
        <v>1</v>
      </c>
      <c r="O71" s="294">
        <v>1</v>
      </c>
      <c r="P71" s="294">
        <v>1</v>
      </c>
    </row>
    <row r="72" spans="1:22" x14ac:dyDescent="0.2">
      <c r="A72" s="8">
        <v>14870</v>
      </c>
      <c r="B72" s="8" t="s">
        <v>133</v>
      </c>
      <c r="C72" s="8" t="s">
        <v>42</v>
      </c>
      <c r="D72" s="29" t="s">
        <v>1</v>
      </c>
      <c r="E72" s="294">
        <v>1</v>
      </c>
      <c r="F72" s="294">
        <v>1</v>
      </c>
      <c r="H72" s="294">
        <v>1</v>
      </c>
      <c r="I72" s="294">
        <v>1</v>
      </c>
      <c r="J72" s="294">
        <v>1</v>
      </c>
      <c r="K72" s="294">
        <v>1</v>
      </c>
    </row>
    <row r="73" spans="1:22" x14ac:dyDescent="0.2">
      <c r="A73" s="8">
        <v>14900</v>
      </c>
      <c r="B73" s="8" t="s">
        <v>60</v>
      </c>
      <c r="C73" s="8" t="s">
        <v>19</v>
      </c>
      <c r="D73" s="29" t="s">
        <v>3</v>
      </c>
      <c r="E73" s="294">
        <v>1</v>
      </c>
      <c r="F73" s="294">
        <v>1</v>
      </c>
      <c r="H73" s="294">
        <v>1</v>
      </c>
      <c r="I73" s="294">
        <v>1</v>
      </c>
      <c r="J73" s="294">
        <v>1</v>
      </c>
      <c r="K73" s="294">
        <v>1</v>
      </c>
      <c r="L73" s="294">
        <v>1</v>
      </c>
      <c r="M73" s="294">
        <v>1</v>
      </c>
      <c r="N73" s="294">
        <v>1</v>
      </c>
      <c r="O73" s="294">
        <v>1</v>
      </c>
      <c r="U73" s="294">
        <v>1</v>
      </c>
      <c r="V73" s="294" t="s">
        <v>659</v>
      </c>
    </row>
    <row r="74" spans="1:22" x14ac:dyDescent="0.2">
      <c r="A74" s="8">
        <v>14920</v>
      </c>
      <c r="B74" s="8" t="s">
        <v>134</v>
      </c>
      <c r="C74" s="8" t="s">
        <v>17</v>
      </c>
      <c r="D74" s="29" t="s">
        <v>1</v>
      </c>
      <c r="E74" s="294">
        <v>1</v>
      </c>
      <c r="F74" s="294">
        <v>1</v>
      </c>
      <c r="H74" s="294">
        <v>1</v>
      </c>
      <c r="I74" s="294">
        <v>1</v>
      </c>
      <c r="J74" s="294">
        <v>1</v>
      </c>
      <c r="K74" s="294">
        <v>1</v>
      </c>
      <c r="L74" s="294">
        <v>1</v>
      </c>
      <c r="M74" s="294">
        <v>1</v>
      </c>
    </row>
    <row r="75" spans="1:22" x14ac:dyDescent="0.2">
      <c r="A75" s="8">
        <v>14950</v>
      </c>
      <c r="B75" s="8" t="s">
        <v>135</v>
      </c>
      <c r="C75" s="8" t="s">
        <v>22</v>
      </c>
      <c r="D75" s="29" t="s">
        <v>1</v>
      </c>
      <c r="E75" s="294">
        <v>1</v>
      </c>
      <c r="F75" s="294">
        <v>1</v>
      </c>
      <c r="H75" s="294">
        <v>1</v>
      </c>
      <c r="I75" s="294">
        <v>1</v>
      </c>
      <c r="J75" s="294">
        <v>1</v>
      </c>
      <c r="K75" s="294">
        <v>1</v>
      </c>
      <c r="O75" s="294">
        <v>1</v>
      </c>
    </row>
    <row r="76" spans="1:22" x14ac:dyDescent="0.2">
      <c r="A76" s="8">
        <v>15050</v>
      </c>
      <c r="B76" s="8" t="s">
        <v>136</v>
      </c>
      <c r="C76" s="8" t="s">
        <v>25</v>
      </c>
      <c r="D76" s="29" t="s">
        <v>2</v>
      </c>
      <c r="E76" s="294">
        <v>1</v>
      </c>
      <c r="F76" s="294">
        <v>1</v>
      </c>
      <c r="G76" s="294">
        <v>1</v>
      </c>
      <c r="H76" s="294">
        <v>1</v>
      </c>
      <c r="I76" s="294">
        <v>1</v>
      </c>
      <c r="J76" s="294">
        <v>1</v>
      </c>
      <c r="K76" s="294">
        <v>1</v>
      </c>
      <c r="L76" s="294">
        <v>1</v>
      </c>
      <c r="M76" s="294">
        <v>1</v>
      </c>
      <c r="O76" s="294">
        <v>1</v>
      </c>
      <c r="P76" s="294">
        <v>1</v>
      </c>
    </row>
    <row r="77" spans="1:22" x14ac:dyDescent="0.2">
      <c r="A77" s="8">
        <v>15240</v>
      </c>
      <c r="B77" s="8" t="s">
        <v>137</v>
      </c>
      <c r="C77" s="8" t="s">
        <v>43</v>
      </c>
      <c r="D77" s="29" t="s">
        <v>4</v>
      </c>
      <c r="E77" s="294">
        <v>1</v>
      </c>
      <c r="F77" s="294">
        <v>1</v>
      </c>
      <c r="G77" s="294">
        <v>1</v>
      </c>
      <c r="H77" s="294">
        <v>1</v>
      </c>
      <c r="I77" s="294">
        <v>1</v>
      </c>
      <c r="J77" s="294">
        <v>1</v>
      </c>
      <c r="K77" s="294">
        <v>1</v>
      </c>
      <c r="L77" s="294">
        <v>1</v>
      </c>
      <c r="M77" s="294">
        <v>1</v>
      </c>
      <c r="N77" s="294">
        <v>1</v>
      </c>
      <c r="O77" s="294">
        <v>1</v>
      </c>
    </row>
    <row r="78" spans="1:22" x14ac:dyDescent="0.2">
      <c r="A78" s="8">
        <v>15270</v>
      </c>
      <c r="B78" s="8" t="s">
        <v>138</v>
      </c>
      <c r="C78" s="8" t="s">
        <v>42</v>
      </c>
      <c r="D78" s="29" t="s">
        <v>1</v>
      </c>
      <c r="E78" s="294">
        <v>1</v>
      </c>
      <c r="F78" s="294">
        <v>1</v>
      </c>
      <c r="H78" s="294">
        <v>1</v>
      </c>
      <c r="I78" s="294">
        <v>1</v>
      </c>
      <c r="J78" s="294">
        <v>1</v>
      </c>
      <c r="K78" s="294">
        <v>1</v>
      </c>
    </row>
    <row r="79" spans="1:22" x14ac:dyDescent="0.2">
      <c r="A79" s="8">
        <v>15300</v>
      </c>
      <c r="B79" s="8" t="s">
        <v>139</v>
      </c>
      <c r="C79" s="8" t="s">
        <v>17</v>
      </c>
      <c r="D79" s="29" t="s">
        <v>1</v>
      </c>
      <c r="E79" s="294">
        <v>1</v>
      </c>
      <c r="F79" s="294">
        <v>1</v>
      </c>
      <c r="G79" s="294">
        <v>1</v>
      </c>
      <c r="H79" s="294">
        <v>1</v>
      </c>
      <c r="I79" s="294">
        <v>1</v>
      </c>
      <c r="J79" s="294">
        <v>1</v>
      </c>
      <c r="K79" s="294">
        <v>1</v>
      </c>
      <c r="L79" s="294">
        <v>1</v>
      </c>
      <c r="P79" s="294">
        <v>1</v>
      </c>
    </row>
    <row r="80" spans="1:22" x14ac:dyDescent="0.2">
      <c r="A80" s="8">
        <v>15350</v>
      </c>
      <c r="B80" s="8" t="s">
        <v>140</v>
      </c>
      <c r="C80" s="8" t="s">
        <v>26</v>
      </c>
      <c r="D80" s="29" t="s">
        <v>3</v>
      </c>
      <c r="H80" s="294">
        <v>1</v>
      </c>
      <c r="I80" s="294">
        <v>1</v>
      </c>
      <c r="J80" s="294">
        <v>1</v>
      </c>
      <c r="K80" s="294">
        <v>1</v>
      </c>
      <c r="L80" s="294">
        <v>1</v>
      </c>
      <c r="M80" s="294">
        <v>1</v>
      </c>
      <c r="N80" s="294">
        <v>1</v>
      </c>
      <c r="O80" s="294">
        <v>1</v>
      </c>
    </row>
    <row r="81" spans="1:16" x14ac:dyDescent="0.2">
      <c r="A81" s="8">
        <v>15520</v>
      </c>
      <c r="B81" s="8" t="s">
        <v>141</v>
      </c>
      <c r="C81" s="8" t="s">
        <v>73</v>
      </c>
      <c r="D81" s="29" t="s">
        <v>1</v>
      </c>
      <c r="E81" s="294">
        <v>1</v>
      </c>
      <c r="F81" s="294">
        <v>1</v>
      </c>
      <c r="G81" s="294">
        <v>1</v>
      </c>
      <c r="H81" s="294">
        <v>1</v>
      </c>
      <c r="I81" s="294">
        <v>1</v>
      </c>
      <c r="J81" s="294">
        <v>1</v>
      </c>
      <c r="K81" s="294">
        <v>1</v>
      </c>
      <c r="L81" s="294">
        <v>1</v>
      </c>
      <c r="M81" s="294">
        <v>1</v>
      </c>
    </row>
    <row r="82" spans="1:16" x14ac:dyDescent="0.2">
      <c r="A82" s="8">
        <v>15560</v>
      </c>
      <c r="B82" s="8" t="s">
        <v>142</v>
      </c>
      <c r="C82" s="8" t="s">
        <v>75</v>
      </c>
      <c r="D82" s="29" t="s">
        <v>1</v>
      </c>
      <c r="E82" s="294">
        <v>1</v>
      </c>
      <c r="F82" s="294">
        <v>1</v>
      </c>
      <c r="G82" s="294">
        <v>1</v>
      </c>
      <c r="H82" s="294">
        <v>1</v>
      </c>
      <c r="I82" s="294">
        <v>1</v>
      </c>
      <c r="J82" s="294">
        <v>1</v>
      </c>
      <c r="K82" s="294">
        <v>1</v>
      </c>
    </row>
    <row r="83" spans="1:16" x14ac:dyDescent="0.2">
      <c r="A83" s="8">
        <v>15650</v>
      </c>
      <c r="B83" s="8" t="s">
        <v>143</v>
      </c>
      <c r="C83" s="8" t="s">
        <v>25</v>
      </c>
      <c r="D83" s="29" t="s">
        <v>4</v>
      </c>
      <c r="E83" s="294">
        <v>1</v>
      </c>
      <c r="F83" s="294">
        <v>1</v>
      </c>
      <c r="G83" s="294">
        <v>1</v>
      </c>
      <c r="H83" s="294">
        <v>1</v>
      </c>
      <c r="I83" s="294">
        <v>1</v>
      </c>
      <c r="J83" s="294">
        <v>1</v>
      </c>
      <c r="K83" s="294">
        <v>1</v>
      </c>
      <c r="M83" s="294">
        <v>1</v>
      </c>
      <c r="N83" s="294">
        <v>1</v>
      </c>
      <c r="P83" s="294">
        <v>1</v>
      </c>
    </row>
    <row r="84" spans="1:16" x14ac:dyDescent="0.2">
      <c r="A84" s="8">
        <v>15700</v>
      </c>
      <c r="B84" s="8" t="s">
        <v>61</v>
      </c>
      <c r="C84" s="8" t="s">
        <v>43</v>
      </c>
      <c r="D84" s="29" t="s">
        <v>4</v>
      </c>
      <c r="E84" s="294">
        <v>1</v>
      </c>
      <c r="F84" s="294">
        <v>1</v>
      </c>
      <c r="H84" s="294">
        <v>1</v>
      </c>
      <c r="I84" s="294">
        <v>1</v>
      </c>
      <c r="J84" s="294">
        <v>1</v>
      </c>
      <c r="K84" s="294">
        <v>1</v>
      </c>
      <c r="L84" s="294">
        <v>1</v>
      </c>
      <c r="M84" s="294">
        <v>1</v>
      </c>
      <c r="N84" s="294">
        <v>1</v>
      </c>
      <c r="O84" s="294">
        <v>1</v>
      </c>
    </row>
    <row r="85" spans="1:16" x14ac:dyDescent="0.2">
      <c r="A85" s="8">
        <v>15750</v>
      </c>
      <c r="B85" s="8" t="s">
        <v>144</v>
      </c>
      <c r="C85" s="8" t="s">
        <v>17</v>
      </c>
      <c r="D85" s="29" t="s">
        <v>1</v>
      </c>
      <c r="E85" s="294">
        <v>1</v>
      </c>
      <c r="F85" s="294">
        <v>1</v>
      </c>
      <c r="H85" s="294">
        <v>1</v>
      </c>
      <c r="I85" s="294">
        <v>1</v>
      </c>
      <c r="J85" s="294">
        <v>1</v>
      </c>
      <c r="K85" s="294">
        <v>1</v>
      </c>
      <c r="L85" s="294">
        <v>1</v>
      </c>
      <c r="M85" s="294">
        <v>1</v>
      </c>
      <c r="N85" s="294">
        <v>1</v>
      </c>
      <c r="O85" s="294">
        <v>1</v>
      </c>
    </row>
    <row r="86" spans="1:16" x14ac:dyDescent="0.2">
      <c r="A86" s="8">
        <v>15800</v>
      </c>
      <c r="B86" s="8" t="s">
        <v>145</v>
      </c>
      <c r="C86" s="8" t="s">
        <v>75</v>
      </c>
      <c r="D86" s="29" t="s">
        <v>1</v>
      </c>
      <c r="E86" s="294">
        <v>1</v>
      </c>
      <c r="F86" s="294">
        <v>1</v>
      </c>
      <c r="H86" s="294">
        <v>1</v>
      </c>
      <c r="I86" s="294">
        <v>1</v>
      </c>
      <c r="J86" s="294">
        <v>1</v>
      </c>
      <c r="K86" s="294">
        <v>1</v>
      </c>
      <c r="L86" s="294">
        <v>1</v>
      </c>
      <c r="M86" s="294">
        <v>1</v>
      </c>
      <c r="N86" s="294">
        <v>1</v>
      </c>
      <c r="O86" s="294">
        <v>1</v>
      </c>
    </row>
    <row r="87" spans="1:16" x14ac:dyDescent="0.2">
      <c r="A87" s="8">
        <v>15850</v>
      </c>
      <c r="B87" s="8" t="s">
        <v>146</v>
      </c>
      <c r="C87" s="8" t="s">
        <v>42</v>
      </c>
      <c r="D87" s="29" t="s">
        <v>1</v>
      </c>
      <c r="E87" s="294">
        <v>1</v>
      </c>
      <c r="F87" s="294">
        <v>1</v>
      </c>
      <c r="G87" s="294">
        <v>1</v>
      </c>
      <c r="H87" s="294">
        <v>1</v>
      </c>
      <c r="I87" s="294">
        <v>1</v>
      </c>
      <c r="J87" s="294">
        <v>1</v>
      </c>
      <c r="K87" s="294">
        <v>1</v>
      </c>
      <c r="L87" s="294">
        <v>1</v>
      </c>
      <c r="M87" s="294">
        <v>1</v>
      </c>
      <c r="N87" s="294">
        <v>1</v>
      </c>
      <c r="O87" s="294">
        <v>1</v>
      </c>
    </row>
    <row r="88" spans="1:16" x14ac:dyDescent="0.2">
      <c r="A88" s="8">
        <v>15900</v>
      </c>
      <c r="B88" s="8" t="s">
        <v>147</v>
      </c>
      <c r="C88" s="8" t="s">
        <v>25</v>
      </c>
      <c r="D88" s="29" t="s">
        <v>2</v>
      </c>
      <c r="E88" s="294">
        <v>1</v>
      </c>
      <c r="F88" s="294">
        <v>1</v>
      </c>
      <c r="G88" s="294">
        <v>1</v>
      </c>
      <c r="H88" s="294">
        <v>1</v>
      </c>
      <c r="I88" s="294">
        <v>1</v>
      </c>
      <c r="J88" s="294">
        <v>1</v>
      </c>
      <c r="K88" s="294">
        <v>1</v>
      </c>
      <c r="L88" s="294">
        <v>1</v>
      </c>
      <c r="M88" s="294">
        <v>1</v>
      </c>
      <c r="O88" s="294">
        <v>1</v>
      </c>
    </row>
    <row r="89" spans="1:16" x14ac:dyDescent="0.2">
      <c r="A89" s="8">
        <v>15950</v>
      </c>
      <c r="B89" s="8" t="s">
        <v>62</v>
      </c>
      <c r="C89" s="8" t="s">
        <v>26</v>
      </c>
      <c r="D89" s="29" t="s">
        <v>3</v>
      </c>
      <c r="E89" s="294">
        <v>1</v>
      </c>
      <c r="F89" s="294">
        <v>1</v>
      </c>
      <c r="H89" s="294">
        <v>1</v>
      </c>
      <c r="I89" s="294">
        <v>1</v>
      </c>
      <c r="J89" s="294">
        <v>1</v>
      </c>
      <c r="K89" s="294">
        <v>1</v>
      </c>
      <c r="L89" s="294">
        <v>1</v>
      </c>
      <c r="M89" s="294">
        <v>1</v>
      </c>
      <c r="O89" s="294">
        <v>1</v>
      </c>
    </row>
    <row r="90" spans="1:16" x14ac:dyDescent="0.2">
      <c r="A90" s="8">
        <v>15990</v>
      </c>
      <c r="B90" s="8" t="s">
        <v>148</v>
      </c>
      <c r="C90" s="8"/>
      <c r="D90" s="29" t="s">
        <v>3</v>
      </c>
      <c r="E90" s="294">
        <v>1</v>
      </c>
      <c r="F90" s="294">
        <v>1</v>
      </c>
      <c r="G90" s="294">
        <v>1</v>
      </c>
      <c r="H90" s="294">
        <v>1</v>
      </c>
      <c r="I90" s="294">
        <v>1</v>
      </c>
      <c r="J90" s="294">
        <v>1</v>
      </c>
      <c r="K90" s="294">
        <v>1</v>
      </c>
      <c r="L90" s="294">
        <v>1</v>
      </c>
      <c r="M90" s="294">
        <v>1</v>
      </c>
      <c r="N90" s="294">
        <v>1</v>
      </c>
      <c r="O90" s="294">
        <v>1</v>
      </c>
    </row>
    <row r="91" spans="1:16" x14ac:dyDescent="0.2">
      <c r="A91" s="8">
        <v>16100</v>
      </c>
      <c r="B91" s="8" t="s">
        <v>149</v>
      </c>
      <c r="C91" s="8" t="s">
        <v>42</v>
      </c>
      <c r="D91" s="29" t="s">
        <v>1</v>
      </c>
    </row>
    <row r="92" spans="1:16" x14ac:dyDescent="0.2">
      <c r="A92" s="8">
        <v>16150</v>
      </c>
      <c r="B92" s="8" t="s">
        <v>150</v>
      </c>
      <c r="C92" s="8" t="s">
        <v>42</v>
      </c>
      <c r="D92" s="29" t="s">
        <v>1</v>
      </c>
      <c r="E92" s="294">
        <v>1</v>
      </c>
      <c r="F92" s="294">
        <v>1</v>
      </c>
      <c r="G92" s="294">
        <v>1</v>
      </c>
      <c r="H92" s="294">
        <v>1</v>
      </c>
      <c r="I92" s="294">
        <v>1</v>
      </c>
      <c r="J92" s="294">
        <v>1</v>
      </c>
      <c r="K92" s="294">
        <v>1</v>
      </c>
    </row>
    <row r="93" spans="1:16" x14ac:dyDescent="0.2">
      <c r="A93" s="8">
        <v>16200</v>
      </c>
      <c r="B93" s="8" t="s">
        <v>151</v>
      </c>
      <c r="C93" s="8" t="s">
        <v>42</v>
      </c>
      <c r="D93" s="29" t="s">
        <v>1</v>
      </c>
      <c r="E93" s="294">
        <v>1</v>
      </c>
      <c r="F93" s="294">
        <v>1</v>
      </c>
      <c r="G93" s="294">
        <v>1</v>
      </c>
      <c r="H93" s="294">
        <v>1</v>
      </c>
      <c r="I93" s="294">
        <v>1</v>
      </c>
      <c r="J93" s="294">
        <v>1</v>
      </c>
      <c r="K93" s="294">
        <v>1</v>
      </c>
      <c r="L93" s="294">
        <v>1</v>
      </c>
      <c r="M93" s="294">
        <v>1</v>
      </c>
      <c r="N93" s="294">
        <v>1</v>
      </c>
      <c r="P93" s="294">
        <v>1</v>
      </c>
    </row>
    <row r="94" spans="1:16" x14ac:dyDescent="0.2">
      <c r="A94" s="8">
        <v>16260</v>
      </c>
      <c r="B94" s="8" t="s">
        <v>63</v>
      </c>
      <c r="C94" s="8" t="s">
        <v>19</v>
      </c>
      <c r="D94" s="29" t="s">
        <v>3</v>
      </c>
      <c r="E94" s="294">
        <v>1</v>
      </c>
      <c r="F94" s="294">
        <v>1</v>
      </c>
      <c r="G94" s="294">
        <v>1</v>
      </c>
      <c r="H94" s="294">
        <v>1</v>
      </c>
      <c r="I94" s="294">
        <v>1</v>
      </c>
      <c r="J94" s="294">
        <v>1</v>
      </c>
      <c r="K94" s="294">
        <v>1</v>
      </c>
      <c r="L94" s="294">
        <v>1</v>
      </c>
      <c r="M94" s="294">
        <v>1</v>
      </c>
      <c r="N94" s="294">
        <v>1</v>
      </c>
      <c r="O94" s="294">
        <v>1</v>
      </c>
    </row>
    <row r="95" spans="1:16" x14ac:dyDescent="0.2">
      <c r="A95" s="8">
        <v>16350</v>
      </c>
      <c r="B95" s="8" t="s">
        <v>64</v>
      </c>
      <c r="C95" s="8" t="s">
        <v>19</v>
      </c>
      <c r="D95" s="29" t="s">
        <v>3</v>
      </c>
      <c r="E95" s="294">
        <v>1</v>
      </c>
      <c r="F95" s="294">
        <v>1</v>
      </c>
      <c r="G95" s="294">
        <v>1</v>
      </c>
      <c r="H95" s="294">
        <v>1</v>
      </c>
      <c r="I95" s="294">
        <v>1</v>
      </c>
      <c r="J95" s="294">
        <v>1</v>
      </c>
      <c r="K95" s="294">
        <v>1</v>
      </c>
      <c r="L95" s="294">
        <v>1</v>
      </c>
      <c r="M95" s="294">
        <v>1</v>
      </c>
      <c r="N95" s="294">
        <v>1</v>
      </c>
      <c r="O95" s="294">
        <v>1</v>
      </c>
    </row>
    <row r="96" spans="1:16" x14ac:dyDescent="0.2">
      <c r="A96" s="8">
        <v>16380</v>
      </c>
      <c r="B96" s="8" t="s">
        <v>152</v>
      </c>
      <c r="C96" s="8" t="s">
        <v>43</v>
      </c>
      <c r="D96" s="29" t="s">
        <v>4</v>
      </c>
      <c r="E96" s="294">
        <v>1</v>
      </c>
      <c r="F96" s="294">
        <v>1</v>
      </c>
      <c r="G96" s="294">
        <v>1</v>
      </c>
      <c r="H96" s="294">
        <v>1</v>
      </c>
      <c r="I96" s="294">
        <v>1</v>
      </c>
      <c r="J96" s="294">
        <v>1</v>
      </c>
      <c r="K96" s="294">
        <v>1</v>
      </c>
      <c r="L96" s="294">
        <v>1</v>
      </c>
      <c r="M96" s="294">
        <v>1</v>
      </c>
      <c r="N96" s="294">
        <v>1</v>
      </c>
      <c r="O96" s="294">
        <v>1</v>
      </c>
      <c r="P96" s="294">
        <v>1</v>
      </c>
    </row>
    <row r="97" spans="1:22" x14ac:dyDescent="0.2">
      <c r="A97" s="8">
        <v>16400</v>
      </c>
      <c r="B97" s="8" t="s">
        <v>65</v>
      </c>
      <c r="C97" s="8" t="s">
        <v>25</v>
      </c>
      <c r="D97" s="29" t="s">
        <v>2</v>
      </c>
      <c r="E97" s="294">
        <v>1</v>
      </c>
      <c r="F97" s="294">
        <v>1</v>
      </c>
      <c r="H97" s="294">
        <v>1</v>
      </c>
      <c r="I97" s="294">
        <v>1</v>
      </c>
      <c r="J97" s="294">
        <v>1</v>
      </c>
      <c r="K97" s="294">
        <v>1</v>
      </c>
      <c r="L97" s="294">
        <v>1</v>
      </c>
      <c r="M97" s="294">
        <v>1</v>
      </c>
      <c r="N97" s="294">
        <v>1</v>
      </c>
      <c r="O97" s="294">
        <v>1</v>
      </c>
    </row>
    <row r="98" spans="1:22" x14ac:dyDescent="0.2">
      <c r="A98" s="8">
        <v>16490</v>
      </c>
      <c r="B98" s="8" t="s">
        <v>153</v>
      </c>
      <c r="C98" s="8" t="s">
        <v>74</v>
      </c>
      <c r="D98" s="29" t="s">
        <v>1</v>
      </c>
      <c r="E98" s="294">
        <v>1</v>
      </c>
      <c r="F98" s="294">
        <v>1</v>
      </c>
      <c r="G98" s="294">
        <v>1</v>
      </c>
      <c r="H98" s="294">
        <v>1</v>
      </c>
      <c r="I98" s="294">
        <v>1</v>
      </c>
      <c r="J98" s="294">
        <v>1</v>
      </c>
      <c r="U98" s="294">
        <v>1</v>
      </c>
      <c r="V98" s="294" t="s">
        <v>660</v>
      </c>
    </row>
    <row r="99" spans="1:22" x14ac:dyDescent="0.2">
      <c r="A99" s="8">
        <v>16550</v>
      </c>
      <c r="B99" s="8" t="s">
        <v>66</v>
      </c>
      <c r="C99" s="8" t="s">
        <v>18</v>
      </c>
      <c r="D99" s="29" t="s">
        <v>3</v>
      </c>
      <c r="E99" s="294">
        <v>1</v>
      </c>
      <c r="F99" s="294">
        <v>1</v>
      </c>
      <c r="G99" s="294">
        <v>1</v>
      </c>
      <c r="H99" s="294">
        <v>1</v>
      </c>
      <c r="I99" s="294">
        <v>1</v>
      </c>
      <c r="J99" s="294">
        <v>1</v>
      </c>
      <c r="K99" s="294">
        <v>1</v>
      </c>
      <c r="L99" s="294">
        <v>1</v>
      </c>
      <c r="M99" s="294">
        <v>1</v>
      </c>
    </row>
    <row r="100" spans="1:22" x14ac:dyDescent="0.2">
      <c r="A100" s="8">
        <v>16610</v>
      </c>
      <c r="B100" s="8" t="s">
        <v>154</v>
      </c>
      <c r="C100" s="8" t="s">
        <v>20</v>
      </c>
      <c r="D100" s="29" t="s">
        <v>4</v>
      </c>
      <c r="E100" s="294">
        <v>1</v>
      </c>
      <c r="F100" s="294">
        <v>1</v>
      </c>
      <c r="G100" s="294">
        <v>1</v>
      </c>
      <c r="H100" s="294">
        <v>1</v>
      </c>
      <c r="I100" s="294">
        <v>1</v>
      </c>
      <c r="J100" s="294">
        <v>1</v>
      </c>
      <c r="K100" s="294">
        <v>1</v>
      </c>
      <c r="M100" s="294">
        <v>1</v>
      </c>
      <c r="O100" s="294">
        <v>1</v>
      </c>
      <c r="P100" s="294">
        <v>1</v>
      </c>
    </row>
    <row r="101" spans="1:22" x14ac:dyDescent="0.2">
      <c r="A101" s="8">
        <v>16700</v>
      </c>
      <c r="B101" s="8" t="s">
        <v>67</v>
      </c>
      <c r="C101" s="8" t="s">
        <v>26</v>
      </c>
      <c r="D101" s="29" t="s">
        <v>3</v>
      </c>
      <c r="E101" s="294">
        <v>1</v>
      </c>
      <c r="F101" s="294">
        <v>1</v>
      </c>
      <c r="G101" s="294">
        <v>1</v>
      </c>
      <c r="H101" s="294">
        <v>1</v>
      </c>
      <c r="I101" s="294">
        <v>1</v>
      </c>
      <c r="J101" s="294">
        <v>1</v>
      </c>
      <c r="K101" s="294">
        <v>1</v>
      </c>
      <c r="L101" s="294">
        <v>1</v>
      </c>
      <c r="M101" s="294">
        <v>1</v>
      </c>
      <c r="N101" s="294">
        <v>1</v>
      </c>
      <c r="O101" s="294">
        <v>1</v>
      </c>
    </row>
    <row r="102" spans="1:22" x14ac:dyDescent="0.2">
      <c r="A102" s="8">
        <v>16900</v>
      </c>
      <c r="B102" s="8" t="s">
        <v>155</v>
      </c>
      <c r="C102" s="8" t="s">
        <v>41</v>
      </c>
      <c r="D102" s="29" t="s">
        <v>2</v>
      </c>
      <c r="E102" s="294">
        <v>1</v>
      </c>
      <c r="F102" s="294">
        <v>1</v>
      </c>
      <c r="G102" s="294">
        <v>1</v>
      </c>
      <c r="H102" s="294">
        <v>1</v>
      </c>
      <c r="I102" s="294">
        <v>1</v>
      </c>
      <c r="J102" s="294">
        <v>1</v>
      </c>
      <c r="K102" s="294">
        <v>1</v>
      </c>
      <c r="L102" s="294">
        <v>1</v>
      </c>
      <c r="M102" s="294">
        <v>1</v>
      </c>
      <c r="N102" s="294">
        <v>1</v>
      </c>
      <c r="O102" s="294">
        <v>1</v>
      </c>
    </row>
    <row r="103" spans="1:22" x14ac:dyDescent="0.2">
      <c r="A103" s="8">
        <v>16950</v>
      </c>
      <c r="B103" s="8" t="s">
        <v>156</v>
      </c>
      <c r="C103" s="8" t="s">
        <v>41</v>
      </c>
      <c r="D103" s="29" t="s">
        <v>2</v>
      </c>
      <c r="E103" s="294">
        <v>1</v>
      </c>
      <c r="F103" s="294">
        <v>1</v>
      </c>
      <c r="G103" s="294">
        <v>1</v>
      </c>
      <c r="H103" s="294">
        <v>1</v>
      </c>
      <c r="I103" s="294">
        <v>1</v>
      </c>
      <c r="J103" s="294">
        <v>1</v>
      </c>
      <c r="K103" s="294">
        <v>1</v>
      </c>
      <c r="M103" s="294">
        <v>1</v>
      </c>
      <c r="N103" s="294">
        <v>1</v>
      </c>
      <c r="O103" s="294">
        <v>1</v>
      </c>
      <c r="U103" s="294">
        <v>1</v>
      </c>
      <c r="V103" s="294" t="s">
        <v>661</v>
      </c>
    </row>
    <row r="104" spans="1:22" x14ac:dyDescent="0.2">
      <c r="A104" s="8">
        <v>17000</v>
      </c>
      <c r="B104" s="8" t="s">
        <v>157</v>
      </c>
      <c r="C104" s="8" t="s">
        <v>25</v>
      </c>
      <c r="D104" s="29" t="s">
        <v>4</v>
      </c>
      <c r="E104" s="294">
        <v>1</v>
      </c>
      <c r="F104" s="294">
        <v>1</v>
      </c>
      <c r="G104" s="294">
        <v>1</v>
      </c>
      <c r="H104" s="294">
        <v>1</v>
      </c>
      <c r="I104" s="294">
        <v>1</v>
      </c>
      <c r="J104" s="294">
        <v>1</v>
      </c>
      <c r="K104" s="294">
        <v>1</v>
      </c>
      <c r="L104" s="294">
        <v>1</v>
      </c>
      <c r="P104" s="294">
        <v>1</v>
      </c>
    </row>
    <row r="105" spans="1:22" x14ac:dyDescent="0.2">
      <c r="A105" s="8">
        <v>17040</v>
      </c>
      <c r="B105" s="8" t="s">
        <v>158</v>
      </c>
      <c r="C105" s="8" t="s">
        <v>74</v>
      </c>
      <c r="D105" s="29" t="s">
        <v>1</v>
      </c>
      <c r="E105" s="294">
        <v>1</v>
      </c>
      <c r="F105" s="294">
        <v>1</v>
      </c>
      <c r="G105" s="294">
        <v>1</v>
      </c>
      <c r="H105" s="294">
        <v>1</v>
      </c>
      <c r="I105" s="294">
        <v>1</v>
      </c>
      <c r="J105" s="294">
        <v>1</v>
      </c>
      <c r="K105" s="294">
        <v>1</v>
      </c>
      <c r="M105" s="294">
        <v>1</v>
      </c>
      <c r="P105" s="294">
        <v>1</v>
      </c>
    </row>
    <row r="106" spans="1:22" x14ac:dyDescent="0.2">
      <c r="A106" s="8">
        <v>17080</v>
      </c>
      <c r="B106" s="8" t="s">
        <v>159</v>
      </c>
      <c r="C106" s="8" t="s">
        <v>74</v>
      </c>
      <c r="D106" s="29" t="s">
        <v>1</v>
      </c>
      <c r="E106" s="294">
        <v>1</v>
      </c>
      <c r="F106" s="294">
        <v>1</v>
      </c>
      <c r="G106" s="294">
        <v>1</v>
      </c>
      <c r="H106" s="294">
        <v>1</v>
      </c>
      <c r="I106" s="294">
        <v>1</v>
      </c>
      <c r="J106" s="294">
        <v>1</v>
      </c>
      <c r="K106" s="294">
        <v>1</v>
      </c>
      <c r="L106" s="294">
        <v>1</v>
      </c>
      <c r="M106" s="294">
        <v>1</v>
      </c>
      <c r="N106" s="294">
        <v>1</v>
      </c>
      <c r="O106" s="294">
        <v>1</v>
      </c>
      <c r="P106" s="294">
        <v>1</v>
      </c>
      <c r="Q106" s="294">
        <v>1</v>
      </c>
    </row>
    <row r="107" spans="1:22" x14ac:dyDescent="0.2">
      <c r="A107" s="8">
        <v>17100</v>
      </c>
      <c r="B107" s="8" t="s">
        <v>160</v>
      </c>
      <c r="C107" s="8"/>
      <c r="D107" s="29" t="s">
        <v>3</v>
      </c>
      <c r="E107" s="294">
        <v>1</v>
      </c>
      <c r="F107" s="294">
        <v>1</v>
      </c>
      <c r="G107" s="294">
        <v>1</v>
      </c>
      <c r="H107" s="294">
        <v>1</v>
      </c>
      <c r="I107" s="294">
        <v>1</v>
      </c>
      <c r="J107" s="294">
        <v>1</v>
      </c>
      <c r="K107" s="294">
        <v>1</v>
      </c>
      <c r="L107" s="294">
        <v>1</v>
      </c>
      <c r="M107" s="294">
        <v>1</v>
      </c>
      <c r="N107" s="294">
        <v>1</v>
      </c>
      <c r="O107" s="294">
        <v>1</v>
      </c>
      <c r="P107" s="294">
        <v>1</v>
      </c>
    </row>
    <row r="108" spans="1:22" x14ac:dyDescent="0.2">
      <c r="A108" s="8">
        <v>17150</v>
      </c>
      <c r="B108" s="8" t="s">
        <v>161</v>
      </c>
      <c r="C108" s="8" t="s">
        <v>18</v>
      </c>
      <c r="D108" s="29" t="s">
        <v>3</v>
      </c>
      <c r="E108" s="294">
        <v>1</v>
      </c>
      <c r="F108" s="294">
        <v>1</v>
      </c>
      <c r="G108" s="294">
        <v>1</v>
      </c>
      <c r="H108" s="294">
        <v>1</v>
      </c>
      <c r="I108" s="294">
        <v>1</v>
      </c>
      <c r="J108" s="294">
        <v>1</v>
      </c>
      <c r="K108" s="294">
        <v>1</v>
      </c>
      <c r="L108" s="294">
        <v>1</v>
      </c>
      <c r="M108" s="294">
        <v>1</v>
      </c>
      <c r="N108" s="294">
        <v>1</v>
      </c>
      <c r="O108" s="294">
        <v>1</v>
      </c>
    </row>
    <row r="109" spans="1:22" x14ac:dyDescent="0.2">
      <c r="A109" s="8">
        <v>17200</v>
      </c>
      <c r="B109" s="8" t="s">
        <v>68</v>
      </c>
      <c r="C109" s="8" t="s">
        <v>18</v>
      </c>
      <c r="D109" s="29" t="s">
        <v>3</v>
      </c>
      <c r="E109" s="294">
        <v>1</v>
      </c>
      <c r="F109" s="294">
        <v>1</v>
      </c>
      <c r="G109" s="294">
        <v>1</v>
      </c>
      <c r="H109" s="294">
        <v>1</v>
      </c>
      <c r="I109" s="294">
        <v>1</v>
      </c>
      <c r="J109" s="294">
        <v>1</v>
      </c>
      <c r="K109" s="294">
        <v>1</v>
      </c>
      <c r="L109" s="294">
        <v>1</v>
      </c>
      <c r="M109" s="294">
        <v>1</v>
      </c>
    </row>
    <row r="110" spans="1:22" x14ac:dyDescent="0.2">
      <c r="A110" s="8">
        <v>17310</v>
      </c>
      <c r="B110" s="8" t="s">
        <v>162</v>
      </c>
      <c r="C110" s="8" t="s">
        <v>17</v>
      </c>
      <c r="D110" s="29" t="s">
        <v>1</v>
      </c>
      <c r="E110" s="294">
        <v>1</v>
      </c>
      <c r="F110" s="294">
        <v>1</v>
      </c>
      <c r="G110" s="294">
        <v>1</v>
      </c>
      <c r="H110" s="294">
        <v>1</v>
      </c>
      <c r="I110" s="294">
        <v>1</v>
      </c>
      <c r="J110" s="294">
        <v>1</v>
      </c>
      <c r="K110" s="294">
        <v>1</v>
      </c>
      <c r="L110" s="294">
        <v>1</v>
      </c>
      <c r="M110" s="294">
        <v>1</v>
      </c>
    </row>
    <row r="111" spans="1:22" x14ac:dyDescent="0.2">
      <c r="A111" s="8">
        <v>17350</v>
      </c>
      <c r="B111" s="8" t="s">
        <v>163</v>
      </c>
      <c r="C111" s="8" t="s">
        <v>22</v>
      </c>
      <c r="D111" s="29" t="s">
        <v>1</v>
      </c>
    </row>
    <row r="112" spans="1:22" x14ac:dyDescent="0.2">
      <c r="A112" s="8">
        <v>17400</v>
      </c>
      <c r="B112" s="8" t="s">
        <v>164</v>
      </c>
      <c r="C112" s="8" t="s">
        <v>17</v>
      </c>
      <c r="D112" s="29" t="s">
        <v>1</v>
      </c>
      <c r="E112" s="294">
        <v>1</v>
      </c>
      <c r="F112" s="294">
        <v>1</v>
      </c>
      <c r="G112" s="294">
        <v>1</v>
      </c>
      <c r="H112" s="294">
        <v>1</v>
      </c>
      <c r="I112" s="294">
        <v>1</v>
      </c>
      <c r="J112" s="294">
        <v>1</v>
      </c>
      <c r="K112" s="294">
        <v>1</v>
      </c>
      <c r="L112" s="294">
        <v>1</v>
      </c>
      <c r="M112" s="294">
        <v>1</v>
      </c>
      <c r="N112" s="294">
        <v>1</v>
      </c>
    </row>
    <row r="113" spans="1:16" x14ac:dyDescent="0.2">
      <c r="A113" s="8">
        <v>17420</v>
      </c>
      <c r="B113" s="8" t="s">
        <v>165</v>
      </c>
      <c r="C113" s="8" t="s">
        <v>19</v>
      </c>
      <c r="D113" s="29" t="s">
        <v>3</v>
      </c>
      <c r="E113" s="294">
        <v>1</v>
      </c>
      <c r="F113" s="294">
        <v>1</v>
      </c>
      <c r="G113" s="294">
        <v>1</v>
      </c>
      <c r="H113" s="294">
        <v>1</v>
      </c>
      <c r="I113" s="294">
        <v>1</v>
      </c>
      <c r="J113" s="294">
        <v>1</v>
      </c>
      <c r="K113" s="294">
        <v>1</v>
      </c>
      <c r="L113" s="294">
        <v>1</v>
      </c>
      <c r="M113" s="294">
        <v>1</v>
      </c>
      <c r="N113" s="294">
        <v>1</v>
      </c>
      <c r="O113" s="294">
        <v>1</v>
      </c>
    </row>
    <row r="114" spans="1:16" x14ac:dyDescent="0.2">
      <c r="A114" s="8">
        <v>17550</v>
      </c>
      <c r="B114" s="8" t="s">
        <v>166</v>
      </c>
      <c r="C114" s="8" t="s">
        <v>20</v>
      </c>
      <c r="D114" s="29" t="s">
        <v>4</v>
      </c>
      <c r="E114" s="294">
        <v>1</v>
      </c>
      <c r="F114" s="294">
        <v>1</v>
      </c>
      <c r="G114" s="294">
        <v>1</v>
      </c>
      <c r="H114" s="294">
        <v>1</v>
      </c>
      <c r="I114" s="294">
        <v>1</v>
      </c>
      <c r="J114" s="294">
        <v>1</v>
      </c>
      <c r="K114" s="294">
        <v>1</v>
      </c>
      <c r="L114" s="294">
        <v>1</v>
      </c>
      <c r="M114" s="294">
        <v>1</v>
      </c>
      <c r="N114" s="294">
        <v>1</v>
      </c>
      <c r="O114" s="294">
        <v>1</v>
      </c>
      <c r="P114" s="294">
        <v>1</v>
      </c>
    </row>
    <row r="115" spans="1:16" x14ac:dyDescent="0.2">
      <c r="A115" s="8">
        <v>17620</v>
      </c>
      <c r="B115" s="8" t="s">
        <v>167</v>
      </c>
      <c r="C115" s="8" t="s">
        <v>25</v>
      </c>
      <c r="D115" s="29" t="s">
        <v>4</v>
      </c>
      <c r="E115" s="294">
        <v>1</v>
      </c>
      <c r="F115" s="294">
        <v>1</v>
      </c>
      <c r="G115" s="294">
        <v>1</v>
      </c>
      <c r="H115" s="294">
        <v>1</v>
      </c>
      <c r="I115" s="294">
        <v>1</v>
      </c>
      <c r="J115" s="294">
        <v>1</v>
      </c>
      <c r="K115" s="294">
        <v>1</v>
      </c>
      <c r="L115" s="294">
        <v>1</v>
      </c>
    </row>
    <row r="116" spans="1:16" x14ac:dyDescent="0.2">
      <c r="A116" s="8">
        <v>17640</v>
      </c>
      <c r="B116" s="8" t="s">
        <v>168</v>
      </c>
      <c r="C116" s="8" t="s">
        <v>74</v>
      </c>
      <c r="D116" s="29" t="s">
        <v>1</v>
      </c>
      <c r="E116" s="294">
        <v>1</v>
      </c>
      <c r="F116" s="294">
        <v>1</v>
      </c>
      <c r="G116" s="294">
        <v>1</v>
      </c>
      <c r="H116" s="294">
        <v>1</v>
      </c>
      <c r="I116" s="294">
        <v>1</v>
      </c>
      <c r="J116" s="294">
        <v>1</v>
      </c>
      <c r="K116" s="294">
        <v>1</v>
      </c>
      <c r="L116" s="294">
        <v>1</v>
      </c>
      <c r="M116" s="294">
        <v>1</v>
      </c>
      <c r="N116" s="294">
        <v>1</v>
      </c>
      <c r="O116" s="294">
        <v>1</v>
      </c>
    </row>
    <row r="117" spans="1:16" x14ac:dyDescent="0.2">
      <c r="A117" s="8">
        <v>17650</v>
      </c>
      <c r="B117" s="8" t="s">
        <v>169</v>
      </c>
      <c r="C117" s="8" t="s">
        <v>17</v>
      </c>
      <c r="D117" s="29" t="s">
        <v>1</v>
      </c>
      <c r="E117" s="294">
        <v>1</v>
      </c>
      <c r="F117" s="294">
        <v>1</v>
      </c>
      <c r="G117" s="294">
        <v>1</v>
      </c>
      <c r="H117" s="294">
        <v>1</v>
      </c>
      <c r="I117" s="294">
        <v>1</v>
      </c>
      <c r="J117" s="294">
        <v>1</v>
      </c>
      <c r="K117" s="294">
        <v>1</v>
      </c>
      <c r="L117" s="294">
        <v>1</v>
      </c>
      <c r="M117" s="294">
        <v>1</v>
      </c>
      <c r="N117" s="294">
        <v>1</v>
      </c>
    </row>
    <row r="118" spans="1:16" x14ac:dyDescent="0.2">
      <c r="A118" s="8">
        <v>17750</v>
      </c>
      <c r="B118" s="8" t="s">
        <v>170</v>
      </c>
      <c r="C118" s="8" t="s">
        <v>22</v>
      </c>
      <c r="D118" s="29" t="s">
        <v>1</v>
      </c>
      <c r="E118" s="294">
        <v>1</v>
      </c>
      <c r="F118" s="294">
        <v>1</v>
      </c>
      <c r="G118" s="294">
        <v>1</v>
      </c>
      <c r="H118" s="294">
        <v>1</v>
      </c>
      <c r="I118" s="294">
        <v>1</v>
      </c>
      <c r="J118" s="294">
        <v>1</v>
      </c>
      <c r="K118" s="294">
        <v>1</v>
      </c>
      <c r="L118" s="294">
        <v>1</v>
      </c>
      <c r="M118" s="294">
        <v>1</v>
      </c>
      <c r="N118" s="294">
        <v>1</v>
      </c>
      <c r="O118" s="294">
        <v>1</v>
      </c>
      <c r="P118" s="294">
        <v>1</v>
      </c>
    </row>
    <row r="119" spans="1:16" x14ac:dyDescent="0.2">
      <c r="A119" s="8">
        <v>17850</v>
      </c>
      <c r="B119" s="8" t="s">
        <v>171</v>
      </c>
      <c r="C119" s="8" t="s">
        <v>17</v>
      </c>
      <c r="D119" s="29" t="s">
        <v>1</v>
      </c>
      <c r="E119" s="294">
        <v>1</v>
      </c>
      <c r="F119" s="294">
        <v>1</v>
      </c>
      <c r="H119" s="294">
        <v>1</v>
      </c>
      <c r="I119" s="294">
        <v>1</v>
      </c>
      <c r="J119" s="294">
        <v>1</v>
      </c>
      <c r="K119" s="294">
        <v>1</v>
      </c>
      <c r="L119" s="294">
        <v>1</v>
      </c>
      <c r="M119" s="294">
        <v>1</v>
      </c>
      <c r="N119" s="294">
        <v>1</v>
      </c>
      <c r="O119" s="294">
        <v>1</v>
      </c>
    </row>
    <row r="120" spans="1:16" x14ac:dyDescent="0.2">
      <c r="A120" s="8">
        <v>17900</v>
      </c>
      <c r="B120" s="8" t="s">
        <v>172</v>
      </c>
      <c r="C120" s="8" t="s">
        <v>42</v>
      </c>
      <c r="D120" s="29" t="s">
        <v>1</v>
      </c>
    </row>
    <row r="121" spans="1:16" x14ac:dyDescent="0.2">
      <c r="A121" s="8">
        <v>17950</v>
      </c>
      <c r="B121" s="8" t="s">
        <v>173</v>
      </c>
      <c r="C121" s="8" t="s">
        <v>42</v>
      </c>
      <c r="D121" s="29" t="s">
        <v>1</v>
      </c>
    </row>
    <row r="122" spans="1:16" x14ac:dyDescent="0.2">
      <c r="A122" s="8">
        <v>18020</v>
      </c>
      <c r="B122" s="8" t="s">
        <v>174</v>
      </c>
      <c r="C122" s="8" t="s">
        <v>42</v>
      </c>
      <c r="D122" s="29" t="s">
        <v>1</v>
      </c>
      <c r="E122" s="294">
        <v>1</v>
      </c>
      <c r="F122" s="294">
        <v>1</v>
      </c>
      <c r="G122" s="294">
        <v>1</v>
      </c>
      <c r="I122" s="294">
        <v>1</v>
      </c>
      <c r="J122" s="294">
        <v>1</v>
      </c>
      <c r="K122" s="294">
        <v>1</v>
      </c>
    </row>
    <row r="123" spans="1:16" x14ac:dyDescent="0.2">
      <c r="A123" s="8">
        <v>18050</v>
      </c>
      <c r="B123" s="8" t="s">
        <v>69</v>
      </c>
      <c r="C123" s="8" t="s">
        <v>18</v>
      </c>
      <c r="D123" s="29" t="s">
        <v>3</v>
      </c>
      <c r="E123" s="294">
        <v>1</v>
      </c>
      <c r="F123" s="294">
        <v>1</v>
      </c>
      <c r="G123" s="294">
        <v>1</v>
      </c>
      <c r="H123" s="294">
        <v>1</v>
      </c>
      <c r="I123" s="294">
        <v>1</v>
      </c>
      <c r="J123" s="294">
        <v>1</v>
      </c>
      <c r="K123" s="294">
        <v>1</v>
      </c>
      <c r="L123" s="294">
        <v>1</v>
      </c>
      <c r="M123" s="294">
        <v>1</v>
      </c>
    </row>
    <row r="124" spans="1:16" x14ac:dyDescent="0.2">
      <c r="A124" s="8">
        <v>18100</v>
      </c>
      <c r="B124" s="8" t="s">
        <v>175</v>
      </c>
      <c r="C124" s="8" t="s">
        <v>42</v>
      </c>
      <c r="D124" s="29" t="s">
        <v>1</v>
      </c>
      <c r="E124" s="294">
        <v>1</v>
      </c>
      <c r="F124" s="294">
        <v>1</v>
      </c>
      <c r="H124" s="294">
        <v>1</v>
      </c>
      <c r="I124" s="294">
        <v>1</v>
      </c>
      <c r="J124" s="294">
        <v>1</v>
      </c>
      <c r="K124" s="294">
        <v>1</v>
      </c>
      <c r="L124" s="294">
        <v>1</v>
      </c>
      <c r="M124" s="294">
        <v>1</v>
      </c>
      <c r="N124" s="294">
        <v>1</v>
      </c>
      <c r="O124" s="294">
        <v>1</v>
      </c>
    </row>
    <row r="125" spans="1:16" x14ac:dyDescent="0.2">
      <c r="A125" s="8">
        <v>18200</v>
      </c>
      <c r="B125" s="8" t="s">
        <v>176</v>
      </c>
      <c r="C125" s="8" t="s">
        <v>73</v>
      </c>
      <c r="D125" s="29" t="s">
        <v>1</v>
      </c>
    </row>
    <row r="126" spans="1:16" x14ac:dyDescent="0.2">
      <c r="A126" s="8">
        <v>18250</v>
      </c>
      <c r="B126" s="8" t="s">
        <v>70</v>
      </c>
      <c r="C126" s="8" t="s">
        <v>26</v>
      </c>
      <c r="D126" s="29" t="s">
        <v>3</v>
      </c>
      <c r="E126" s="294">
        <v>1</v>
      </c>
      <c r="F126" s="294">
        <v>1</v>
      </c>
      <c r="G126" s="294">
        <v>1</v>
      </c>
      <c r="H126" s="294">
        <v>1</v>
      </c>
      <c r="I126" s="294">
        <v>1</v>
      </c>
      <c r="J126" s="294">
        <v>1</v>
      </c>
      <c r="K126" s="294">
        <v>1</v>
      </c>
      <c r="L126" s="294">
        <v>1</v>
      </c>
      <c r="M126" s="294">
        <v>1</v>
      </c>
      <c r="N126" s="294">
        <v>1</v>
      </c>
      <c r="O126" s="294">
        <v>1</v>
      </c>
    </row>
    <row r="127" spans="1:16" x14ac:dyDescent="0.2">
      <c r="A127" s="8">
        <v>18350</v>
      </c>
      <c r="B127" s="8" t="s">
        <v>71</v>
      </c>
      <c r="C127" s="8" t="s">
        <v>74</v>
      </c>
      <c r="D127" s="29" t="s">
        <v>2</v>
      </c>
      <c r="E127" s="294">
        <v>1</v>
      </c>
      <c r="F127" s="294">
        <v>1</v>
      </c>
      <c r="G127" s="294">
        <v>1</v>
      </c>
      <c r="H127" s="294">
        <v>1</v>
      </c>
      <c r="I127" s="294">
        <v>1</v>
      </c>
      <c r="J127" s="294">
        <v>1</v>
      </c>
      <c r="K127" s="294">
        <v>1</v>
      </c>
      <c r="L127" s="294">
        <v>1</v>
      </c>
      <c r="M127" s="294">
        <v>1</v>
      </c>
    </row>
    <row r="128" spans="1:16" x14ac:dyDescent="0.2">
      <c r="A128" s="8">
        <v>18400</v>
      </c>
      <c r="B128" s="8" t="s">
        <v>177</v>
      </c>
      <c r="C128" s="8" t="s">
        <v>193</v>
      </c>
      <c r="D128" s="29" t="s">
        <v>4</v>
      </c>
      <c r="E128" s="294">
        <v>1</v>
      </c>
      <c r="F128" s="294">
        <v>1</v>
      </c>
      <c r="H128" s="294">
        <v>1</v>
      </c>
      <c r="I128" s="294">
        <v>1</v>
      </c>
      <c r="K128" s="294">
        <v>1</v>
      </c>
      <c r="L128" s="294">
        <v>1</v>
      </c>
    </row>
    <row r="129" spans="1:21" x14ac:dyDescent="0.2">
      <c r="A129" s="8">
        <v>18450</v>
      </c>
      <c r="B129" s="8" t="s">
        <v>178</v>
      </c>
      <c r="C129" s="8" t="s">
        <v>41</v>
      </c>
      <c r="D129" s="29" t="s">
        <v>2</v>
      </c>
      <c r="E129" s="294">
        <v>1</v>
      </c>
      <c r="F129" s="294">
        <v>1</v>
      </c>
      <c r="G129" s="294">
        <v>1</v>
      </c>
      <c r="H129" s="294">
        <v>1</v>
      </c>
      <c r="I129" s="294">
        <v>1</v>
      </c>
      <c r="J129" s="294">
        <v>1</v>
      </c>
      <c r="K129" s="294">
        <v>1</v>
      </c>
      <c r="L129" s="294">
        <v>1</v>
      </c>
      <c r="M129" s="294">
        <v>1</v>
      </c>
      <c r="O129" s="294">
        <v>1</v>
      </c>
    </row>
    <row r="130" spans="1:21" x14ac:dyDescent="0.2">
      <c r="A130" s="8">
        <v>18500</v>
      </c>
      <c r="B130" s="8" t="s">
        <v>72</v>
      </c>
      <c r="C130" s="8" t="s">
        <v>18</v>
      </c>
      <c r="D130" s="29" t="s">
        <v>3</v>
      </c>
      <c r="E130" s="294">
        <v>1</v>
      </c>
      <c r="F130" s="294">
        <v>1</v>
      </c>
      <c r="G130" s="294">
        <v>1</v>
      </c>
      <c r="H130" s="294">
        <v>1</v>
      </c>
      <c r="I130" s="294">
        <v>1</v>
      </c>
      <c r="J130" s="294">
        <v>1</v>
      </c>
      <c r="K130" s="294">
        <v>1</v>
      </c>
      <c r="L130" s="294">
        <v>1</v>
      </c>
      <c r="M130" s="294">
        <v>1</v>
      </c>
      <c r="N130" s="294">
        <v>1</v>
      </c>
      <c r="O130" s="294">
        <v>1</v>
      </c>
    </row>
    <row r="131" spans="1:21" x14ac:dyDescent="0.2">
      <c r="A131" s="8">
        <v>18710</v>
      </c>
      <c r="B131" s="8" t="s">
        <v>179</v>
      </c>
      <c r="C131" s="8" t="s">
        <v>74</v>
      </c>
      <c r="D131" s="29" t="s">
        <v>1</v>
      </c>
      <c r="E131" s="294">
        <v>1</v>
      </c>
      <c r="F131" s="294">
        <v>1</v>
      </c>
      <c r="G131" s="294">
        <v>1</v>
      </c>
      <c r="H131" s="294">
        <v>1</v>
      </c>
      <c r="I131" s="294">
        <v>1</v>
      </c>
      <c r="J131" s="294">
        <v>1</v>
      </c>
      <c r="K131" s="294">
        <v>1</v>
      </c>
      <c r="O131" s="294">
        <v>1</v>
      </c>
    </row>
    <row r="133" spans="1:21" x14ac:dyDescent="0.2">
      <c r="B133" s="294" t="s">
        <v>662</v>
      </c>
      <c r="E133" s="294">
        <f>SUM(E4:E131)</f>
        <v>111</v>
      </c>
      <c r="F133" s="294">
        <f t="shared" ref="F133:U133" si="0">SUM(F4:F131)</f>
        <v>111</v>
      </c>
      <c r="G133" s="294">
        <f t="shared" si="0"/>
        <v>89</v>
      </c>
      <c r="H133" s="294">
        <f t="shared" si="0"/>
        <v>110</v>
      </c>
      <c r="I133" s="294">
        <f t="shared" si="0"/>
        <v>111</v>
      </c>
      <c r="J133" s="294">
        <f t="shared" si="0"/>
        <v>111</v>
      </c>
      <c r="K133" s="294">
        <f t="shared" si="0"/>
        <v>110</v>
      </c>
      <c r="L133" s="294">
        <f t="shared" si="0"/>
        <v>93</v>
      </c>
      <c r="M133" s="294">
        <f t="shared" si="0"/>
        <v>90</v>
      </c>
      <c r="N133" s="294">
        <f t="shared" si="0"/>
        <v>66</v>
      </c>
      <c r="O133" s="294">
        <f t="shared" si="0"/>
        <v>76</v>
      </c>
      <c r="P133" s="294">
        <f t="shared" si="0"/>
        <v>31</v>
      </c>
      <c r="Q133" s="294">
        <f t="shared" si="0"/>
        <v>6</v>
      </c>
      <c r="R133" s="294">
        <f t="shared" si="0"/>
        <v>0</v>
      </c>
      <c r="S133" s="294">
        <f t="shared" si="0"/>
        <v>1</v>
      </c>
      <c r="T133" s="294">
        <f t="shared" si="0"/>
        <v>1</v>
      </c>
      <c r="U133" s="294">
        <f t="shared" si="0"/>
        <v>5</v>
      </c>
    </row>
    <row r="135" spans="1:21" x14ac:dyDescent="0.2">
      <c r="A135" s="295">
        <v>30</v>
      </c>
      <c r="C135" s="296" t="s">
        <v>9</v>
      </c>
      <c r="D135" s="296"/>
      <c r="E135" s="297">
        <f>SUMIF($D$4:$D$131,"S",E$4:E$131)</f>
        <v>29</v>
      </c>
      <c r="F135" s="297">
        <f t="shared" ref="F135:U135" si="1">SUMIF($D$4:$D$131,"S",F$4:F$131)</f>
        <v>29</v>
      </c>
      <c r="G135" s="297">
        <f t="shared" si="1"/>
        <v>27</v>
      </c>
      <c r="H135" s="297">
        <f t="shared" si="1"/>
        <v>30</v>
      </c>
      <c r="I135" s="297">
        <f t="shared" si="1"/>
        <v>29</v>
      </c>
      <c r="J135" s="297">
        <f t="shared" si="1"/>
        <v>30</v>
      </c>
      <c r="K135" s="297">
        <f t="shared" si="1"/>
        <v>30</v>
      </c>
      <c r="L135" s="297">
        <f t="shared" si="1"/>
        <v>30</v>
      </c>
      <c r="M135" s="297">
        <f t="shared" si="1"/>
        <v>29</v>
      </c>
      <c r="N135" s="297">
        <f t="shared" si="1"/>
        <v>24</v>
      </c>
      <c r="O135" s="297">
        <f t="shared" si="1"/>
        <v>26</v>
      </c>
      <c r="P135" s="297">
        <f t="shared" si="1"/>
        <v>4</v>
      </c>
      <c r="Q135" s="297">
        <f t="shared" si="1"/>
        <v>0</v>
      </c>
      <c r="R135" s="297">
        <f t="shared" si="1"/>
        <v>0</v>
      </c>
      <c r="S135" s="297">
        <f t="shared" si="1"/>
        <v>0</v>
      </c>
      <c r="T135" s="297">
        <f t="shared" si="1"/>
        <v>0</v>
      </c>
      <c r="U135" s="297">
        <f t="shared" si="1"/>
        <v>2</v>
      </c>
    </row>
    <row r="136" spans="1:21" x14ac:dyDescent="0.2">
      <c r="A136" s="295">
        <v>12</v>
      </c>
      <c r="C136" s="296" t="s">
        <v>10</v>
      </c>
      <c r="D136" s="296"/>
      <c r="E136" s="297">
        <f>SUMIF($D$4:$D$131,"E",E$4:E$131)</f>
        <v>12</v>
      </c>
      <c r="F136" s="297">
        <f t="shared" ref="F136:U136" si="2">SUMIF($D$4:$D$131,"E",F$4:F$131)</f>
        <v>12</v>
      </c>
      <c r="G136" s="297">
        <f t="shared" si="2"/>
        <v>11</v>
      </c>
      <c r="H136" s="297">
        <f t="shared" si="2"/>
        <v>12</v>
      </c>
      <c r="I136" s="297">
        <f t="shared" si="2"/>
        <v>12</v>
      </c>
      <c r="J136" s="297">
        <f t="shared" si="2"/>
        <v>12</v>
      </c>
      <c r="K136" s="297">
        <f t="shared" si="2"/>
        <v>12</v>
      </c>
      <c r="L136" s="297">
        <f t="shared" si="2"/>
        <v>10</v>
      </c>
      <c r="M136" s="297">
        <f t="shared" si="2"/>
        <v>10</v>
      </c>
      <c r="N136" s="297">
        <f t="shared" si="2"/>
        <v>6</v>
      </c>
      <c r="O136" s="297">
        <f t="shared" si="2"/>
        <v>9</v>
      </c>
      <c r="P136" s="297">
        <f t="shared" si="2"/>
        <v>2</v>
      </c>
      <c r="Q136" s="297">
        <f t="shared" si="2"/>
        <v>1</v>
      </c>
      <c r="R136" s="297">
        <f t="shared" si="2"/>
        <v>0</v>
      </c>
      <c r="S136" s="297">
        <f t="shared" si="2"/>
        <v>0</v>
      </c>
      <c r="T136" s="297">
        <f t="shared" si="2"/>
        <v>0</v>
      </c>
      <c r="U136" s="297">
        <f t="shared" si="2"/>
        <v>1</v>
      </c>
    </row>
    <row r="137" spans="1:21" x14ac:dyDescent="0.2">
      <c r="A137" s="295">
        <v>19</v>
      </c>
      <c r="C137" s="296" t="s">
        <v>11</v>
      </c>
      <c r="D137" s="296"/>
      <c r="E137" s="297">
        <f>SUMIF($D$4:$D$131,"R",E$4:E$131)</f>
        <v>19</v>
      </c>
      <c r="F137" s="297">
        <f t="shared" ref="F137:U137" si="3">SUMIF($D$4:$D$131,"R",F$4:F$131)</f>
        <v>19</v>
      </c>
      <c r="G137" s="297">
        <f t="shared" si="3"/>
        <v>17</v>
      </c>
      <c r="H137" s="297">
        <f t="shared" si="3"/>
        <v>19</v>
      </c>
      <c r="I137" s="297">
        <f t="shared" si="3"/>
        <v>19</v>
      </c>
      <c r="J137" s="297">
        <f t="shared" si="3"/>
        <v>18</v>
      </c>
      <c r="K137" s="297">
        <f t="shared" si="3"/>
        <v>19</v>
      </c>
      <c r="L137" s="297">
        <f t="shared" si="3"/>
        <v>16</v>
      </c>
      <c r="M137" s="297">
        <f t="shared" si="3"/>
        <v>15</v>
      </c>
      <c r="N137" s="297">
        <f t="shared" si="3"/>
        <v>13</v>
      </c>
      <c r="O137" s="297">
        <f t="shared" si="3"/>
        <v>14</v>
      </c>
      <c r="P137" s="297">
        <f t="shared" si="3"/>
        <v>11</v>
      </c>
      <c r="Q137" s="297">
        <f t="shared" si="3"/>
        <v>0</v>
      </c>
      <c r="R137" s="297">
        <f t="shared" si="3"/>
        <v>0</v>
      </c>
      <c r="S137" s="297">
        <f t="shared" si="3"/>
        <v>1</v>
      </c>
      <c r="T137" s="297">
        <f t="shared" si="3"/>
        <v>1</v>
      </c>
      <c r="U137" s="297">
        <f t="shared" si="3"/>
        <v>0</v>
      </c>
    </row>
    <row r="138" spans="1:21" x14ac:dyDescent="0.2">
      <c r="A138" s="295">
        <v>67</v>
      </c>
      <c r="C138" s="296" t="s">
        <v>12</v>
      </c>
      <c r="D138" s="296"/>
      <c r="E138" s="297">
        <f>SUMIF($D$4:$D$131,"N",E$4:E$131)</f>
        <v>51</v>
      </c>
      <c r="F138" s="297">
        <f t="shared" ref="F138:U138" si="4">SUMIF($D$4:$D$131,"N",F$4:F$131)</f>
        <v>51</v>
      </c>
      <c r="G138" s="297">
        <f t="shared" si="4"/>
        <v>34</v>
      </c>
      <c r="H138" s="297">
        <f t="shared" si="4"/>
        <v>49</v>
      </c>
      <c r="I138" s="297">
        <f t="shared" si="4"/>
        <v>51</v>
      </c>
      <c r="J138" s="297">
        <f t="shared" si="4"/>
        <v>51</v>
      </c>
      <c r="K138" s="297">
        <f t="shared" si="4"/>
        <v>49</v>
      </c>
      <c r="L138" s="297">
        <f t="shared" si="4"/>
        <v>37</v>
      </c>
      <c r="M138" s="297">
        <f t="shared" si="4"/>
        <v>36</v>
      </c>
      <c r="N138" s="297">
        <f t="shared" si="4"/>
        <v>23</v>
      </c>
      <c r="O138" s="297">
        <f t="shared" si="4"/>
        <v>27</v>
      </c>
      <c r="P138" s="297">
        <f t="shared" si="4"/>
        <v>14</v>
      </c>
      <c r="Q138" s="297">
        <f t="shared" si="4"/>
        <v>5</v>
      </c>
      <c r="R138" s="297">
        <f t="shared" si="4"/>
        <v>0</v>
      </c>
      <c r="S138" s="297">
        <f t="shared" si="4"/>
        <v>0</v>
      </c>
      <c r="T138" s="297">
        <f t="shared" si="4"/>
        <v>0</v>
      </c>
      <c r="U138" s="297">
        <f t="shared" si="4"/>
        <v>2</v>
      </c>
    </row>
    <row r="139" spans="1:21" x14ac:dyDescent="0.2">
      <c r="A139" s="295">
        <v>128</v>
      </c>
      <c r="C139" s="296" t="s">
        <v>8</v>
      </c>
      <c r="D139" s="72"/>
      <c r="E139" s="73">
        <f t="shared" ref="E139:U139" si="5">SUM(E135:E138)</f>
        <v>111</v>
      </c>
      <c r="F139" s="73">
        <f t="shared" si="5"/>
        <v>111</v>
      </c>
      <c r="G139" s="73">
        <f t="shared" si="5"/>
        <v>89</v>
      </c>
      <c r="H139" s="73">
        <f t="shared" si="5"/>
        <v>110</v>
      </c>
      <c r="I139" s="73">
        <f t="shared" si="5"/>
        <v>111</v>
      </c>
      <c r="J139" s="73">
        <f t="shared" si="5"/>
        <v>111</v>
      </c>
      <c r="K139" s="73">
        <f t="shared" si="5"/>
        <v>110</v>
      </c>
      <c r="L139" s="73">
        <f t="shared" si="5"/>
        <v>93</v>
      </c>
      <c r="M139" s="73">
        <f t="shared" si="5"/>
        <v>90</v>
      </c>
      <c r="N139" s="73">
        <f t="shared" si="5"/>
        <v>66</v>
      </c>
      <c r="O139" s="73">
        <f t="shared" si="5"/>
        <v>76</v>
      </c>
      <c r="P139" s="73">
        <f t="shared" si="5"/>
        <v>31</v>
      </c>
      <c r="Q139" s="73">
        <f t="shared" si="5"/>
        <v>6</v>
      </c>
      <c r="R139" s="73">
        <f t="shared" si="5"/>
        <v>0</v>
      </c>
      <c r="S139" s="73">
        <f t="shared" si="5"/>
        <v>1</v>
      </c>
      <c r="T139" s="73">
        <f t="shared" si="5"/>
        <v>1</v>
      </c>
      <c r="U139" s="73">
        <f t="shared" si="5"/>
        <v>5</v>
      </c>
    </row>
    <row r="141" spans="1:21" x14ac:dyDescent="0.2">
      <c r="C141" s="296" t="s">
        <v>9</v>
      </c>
      <c r="E141" s="298">
        <f t="shared" ref="E141:U145" si="6">E135/$A135</f>
        <v>0.96666666666666667</v>
      </c>
      <c r="F141" s="298">
        <f t="shared" si="6"/>
        <v>0.96666666666666667</v>
      </c>
      <c r="G141" s="298">
        <f t="shared" si="6"/>
        <v>0.9</v>
      </c>
      <c r="H141" s="298">
        <f t="shared" si="6"/>
        <v>1</v>
      </c>
      <c r="I141" s="298">
        <f t="shared" si="6"/>
        <v>0.96666666666666667</v>
      </c>
      <c r="J141" s="298">
        <f t="shared" si="6"/>
        <v>1</v>
      </c>
      <c r="K141" s="298">
        <f t="shared" si="6"/>
        <v>1</v>
      </c>
      <c r="L141" s="298">
        <f t="shared" si="6"/>
        <v>1</v>
      </c>
      <c r="M141" s="298">
        <f t="shared" si="6"/>
        <v>0.96666666666666667</v>
      </c>
      <c r="N141" s="298">
        <f t="shared" si="6"/>
        <v>0.8</v>
      </c>
      <c r="O141" s="298">
        <f t="shared" si="6"/>
        <v>0.8666666666666667</v>
      </c>
      <c r="P141" s="298">
        <f t="shared" si="6"/>
        <v>0.13333333333333333</v>
      </c>
      <c r="Q141" s="298">
        <f t="shared" si="6"/>
        <v>0</v>
      </c>
      <c r="R141" s="298">
        <f t="shared" si="6"/>
        <v>0</v>
      </c>
      <c r="S141" s="298">
        <f t="shared" si="6"/>
        <v>0</v>
      </c>
      <c r="T141" s="298">
        <f t="shared" si="6"/>
        <v>0</v>
      </c>
      <c r="U141" s="298">
        <f t="shared" si="6"/>
        <v>6.6666666666666666E-2</v>
      </c>
    </row>
    <row r="142" spans="1:21" x14ac:dyDescent="0.2">
      <c r="C142" s="296" t="s">
        <v>10</v>
      </c>
      <c r="E142" s="298">
        <f t="shared" si="6"/>
        <v>1</v>
      </c>
      <c r="F142" s="298">
        <f t="shared" si="6"/>
        <v>1</v>
      </c>
      <c r="G142" s="298">
        <f t="shared" si="6"/>
        <v>0.91666666666666663</v>
      </c>
      <c r="H142" s="298">
        <f t="shared" si="6"/>
        <v>1</v>
      </c>
      <c r="I142" s="298">
        <f t="shared" si="6"/>
        <v>1</v>
      </c>
      <c r="J142" s="298">
        <f t="shared" si="6"/>
        <v>1</v>
      </c>
      <c r="K142" s="298">
        <f t="shared" si="6"/>
        <v>1</v>
      </c>
      <c r="L142" s="298">
        <f t="shared" si="6"/>
        <v>0.83333333333333337</v>
      </c>
      <c r="M142" s="298">
        <f t="shared" si="6"/>
        <v>0.83333333333333337</v>
      </c>
      <c r="N142" s="298">
        <f t="shared" si="6"/>
        <v>0.5</v>
      </c>
      <c r="O142" s="298">
        <f t="shared" si="6"/>
        <v>0.75</v>
      </c>
      <c r="P142" s="298">
        <f t="shared" si="6"/>
        <v>0.16666666666666666</v>
      </c>
      <c r="Q142" s="298">
        <f t="shared" si="6"/>
        <v>8.3333333333333329E-2</v>
      </c>
      <c r="R142" s="298">
        <f t="shared" si="6"/>
        <v>0</v>
      </c>
      <c r="S142" s="298">
        <f t="shared" si="6"/>
        <v>0</v>
      </c>
      <c r="T142" s="298">
        <f t="shared" si="6"/>
        <v>0</v>
      </c>
      <c r="U142" s="298">
        <f t="shared" si="6"/>
        <v>8.3333333333333329E-2</v>
      </c>
    </row>
    <row r="143" spans="1:21" x14ac:dyDescent="0.2">
      <c r="C143" s="296" t="s">
        <v>11</v>
      </c>
      <c r="E143" s="298">
        <f t="shared" si="6"/>
        <v>1</v>
      </c>
      <c r="F143" s="298">
        <f t="shared" si="6"/>
        <v>1</v>
      </c>
      <c r="G143" s="298">
        <f t="shared" si="6"/>
        <v>0.89473684210526316</v>
      </c>
      <c r="H143" s="298">
        <f t="shared" si="6"/>
        <v>1</v>
      </c>
      <c r="I143" s="298">
        <f t="shared" si="6"/>
        <v>1</v>
      </c>
      <c r="J143" s="298">
        <f t="shared" si="6"/>
        <v>0.94736842105263153</v>
      </c>
      <c r="K143" s="298">
        <f t="shared" si="6"/>
        <v>1</v>
      </c>
      <c r="L143" s="298">
        <f t="shared" si="6"/>
        <v>0.84210526315789469</v>
      </c>
      <c r="M143" s="298">
        <f t="shared" si="6"/>
        <v>0.78947368421052633</v>
      </c>
      <c r="N143" s="298">
        <f t="shared" si="6"/>
        <v>0.68421052631578949</v>
      </c>
      <c r="O143" s="298">
        <f t="shared" si="6"/>
        <v>0.73684210526315785</v>
      </c>
      <c r="P143" s="298">
        <f t="shared" si="6"/>
        <v>0.57894736842105265</v>
      </c>
      <c r="Q143" s="298">
        <f t="shared" si="6"/>
        <v>0</v>
      </c>
      <c r="R143" s="298">
        <f t="shared" si="6"/>
        <v>0</v>
      </c>
      <c r="S143" s="298">
        <f t="shared" si="6"/>
        <v>5.2631578947368418E-2</v>
      </c>
      <c r="T143" s="298">
        <f t="shared" si="6"/>
        <v>5.2631578947368418E-2</v>
      </c>
      <c r="U143" s="298">
        <f t="shared" si="6"/>
        <v>0</v>
      </c>
    </row>
    <row r="144" spans="1:21" x14ac:dyDescent="0.2">
      <c r="C144" s="296" t="s">
        <v>12</v>
      </c>
      <c r="E144" s="298">
        <f t="shared" si="6"/>
        <v>0.76119402985074625</v>
      </c>
      <c r="F144" s="298">
        <f t="shared" si="6"/>
        <v>0.76119402985074625</v>
      </c>
      <c r="G144" s="298">
        <f t="shared" si="6"/>
        <v>0.5074626865671642</v>
      </c>
      <c r="H144" s="298">
        <f t="shared" si="6"/>
        <v>0.73134328358208955</v>
      </c>
      <c r="I144" s="298">
        <f t="shared" si="6"/>
        <v>0.76119402985074625</v>
      </c>
      <c r="J144" s="298">
        <f t="shared" si="6"/>
        <v>0.76119402985074625</v>
      </c>
      <c r="K144" s="298">
        <f t="shared" si="6"/>
        <v>0.73134328358208955</v>
      </c>
      <c r="L144" s="298">
        <f t="shared" si="6"/>
        <v>0.55223880597014929</v>
      </c>
      <c r="M144" s="298">
        <f t="shared" si="6"/>
        <v>0.53731343283582089</v>
      </c>
      <c r="N144" s="298">
        <f t="shared" si="6"/>
        <v>0.34328358208955223</v>
      </c>
      <c r="O144" s="298">
        <f t="shared" si="6"/>
        <v>0.40298507462686567</v>
      </c>
      <c r="P144" s="298">
        <f t="shared" si="6"/>
        <v>0.20895522388059701</v>
      </c>
      <c r="Q144" s="298">
        <f t="shared" si="6"/>
        <v>7.4626865671641784E-2</v>
      </c>
      <c r="R144" s="298">
        <f t="shared" si="6"/>
        <v>0</v>
      </c>
      <c r="S144" s="298">
        <f t="shared" si="6"/>
        <v>0</v>
      </c>
      <c r="T144" s="298">
        <f t="shared" si="6"/>
        <v>0</v>
      </c>
      <c r="U144" s="298">
        <f t="shared" si="6"/>
        <v>2.9850746268656716E-2</v>
      </c>
    </row>
    <row r="145" spans="3:21" x14ac:dyDescent="0.2">
      <c r="C145" s="296" t="s">
        <v>8</v>
      </c>
      <c r="E145" s="298">
        <f t="shared" si="6"/>
        <v>0.8671875</v>
      </c>
      <c r="F145" s="298">
        <f t="shared" si="6"/>
        <v>0.8671875</v>
      </c>
      <c r="G145" s="298">
        <f t="shared" si="6"/>
        <v>0.6953125</v>
      </c>
      <c r="H145" s="298">
        <f t="shared" si="6"/>
        <v>0.859375</v>
      </c>
      <c r="I145" s="298">
        <f t="shared" si="6"/>
        <v>0.8671875</v>
      </c>
      <c r="J145" s="298">
        <f t="shared" si="6"/>
        <v>0.8671875</v>
      </c>
      <c r="K145" s="298">
        <f t="shared" si="6"/>
        <v>0.859375</v>
      </c>
      <c r="L145" s="298">
        <f t="shared" si="6"/>
        <v>0.7265625</v>
      </c>
      <c r="M145" s="298">
        <f t="shared" si="6"/>
        <v>0.703125</v>
      </c>
      <c r="N145" s="298">
        <f t="shared" si="6"/>
        <v>0.515625</v>
      </c>
      <c r="O145" s="298">
        <f t="shared" si="6"/>
        <v>0.59375</v>
      </c>
      <c r="P145" s="298">
        <f t="shared" si="6"/>
        <v>0.2421875</v>
      </c>
      <c r="Q145" s="298">
        <f t="shared" si="6"/>
        <v>4.6875E-2</v>
      </c>
      <c r="R145" s="298">
        <f t="shared" si="6"/>
        <v>0</v>
      </c>
      <c r="S145" s="298">
        <f t="shared" si="6"/>
        <v>7.8125E-3</v>
      </c>
      <c r="T145" s="298">
        <f t="shared" si="6"/>
        <v>7.8125E-3</v>
      </c>
      <c r="U145" s="298">
        <f t="shared" si="6"/>
        <v>3.90625E-2</v>
      </c>
    </row>
  </sheetData>
  <mergeCells count="1">
    <mergeCell ref="E1:U1"/>
  </mergeCells>
  <hyperlinks>
    <hyperlink ref="D62" location="'2009-10'!A160" display="Bottom" xr:uid="{CB1B15F7-B1E5-466D-824F-6C03CC42FDC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App 1 - Services</vt:lpstr>
      <vt:lpstr>App 2 - Totals</vt:lpstr>
      <vt:lpstr>App 3 - Recycling Rate</vt:lpstr>
      <vt:lpstr>App 4 - Recyclables</vt:lpstr>
      <vt:lpstr>App 5 - Organics</vt:lpstr>
      <vt:lpstr>App 6 - Residual Waste</vt:lpstr>
      <vt:lpstr>App 7 - HH &amp; Capita</vt:lpstr>
      <vt:lpstr>App 8 - Bin Size</vt:lpstr>
      <vt:lpstr>App 8a - Materials Accepted</vt:lpstr>
      <vt:lpstr>App 9 - AWT</vt:lpstr>
      <vt:lpstr>'App 1 - Services'!Print_Area</vt:lpstr>
      <vt:lpstr>'App 1 - Services'!Print_Titles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White</dc:creator>
  <cp:lastModifiedBy>Ron White</cp:lastModifiedBy>
  <cp:lastPrinted>2019-05-30T01:28:08Z</cp:lastPrinted>
  <dcterms:created xsi:type="dcterms:W3CDTF">2014-12-11T00:49:17Z</dcterms:created>
  <dcterms:modified xsi:type="dcterms:W3CDTF">2022-06-21T06:18:44Z</dcterms:modified>
</cp:coreProperties>
</file>